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5OrQWbAng3yKmmVjYxdJaVPseret8hPmM9rAMeumibXgAfLc3hWLfLCeAP9V/NUVC0YvHTxXHMTh0pLHsygOmg==" workbookSaltValue="DLqs7gfslfwfHZ15gv8xZ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AC19" i="8" l="1"/>
  <c r="AL16" i="11"/>
  <c r="C16" i="6"/>
  <c r="S19" i="8"/>
  <c r="C12" i="14"/>
  <c r="K12" i="14" s="1"/>
  <c r="S12" i="14"/>
  <c r="V12" i="14" s="1"/>
  <c r="S16" i="14"/>
  <c r="V16" i="14" s="1"/>
  <c r="R11" i="14"/>
  <c r="R17" i="14"/>
  <c r="AM15" i="11"/>
  <c r="AB13" i="21"/>
  <c r="BE9" i="13"/>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K20" i="20"/>
  <c r="O16" i="11"/>
  <c r="Q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0" i="11"/>
  <c r="AP20" i="20"/>
  <c r="AH20" i="20"/>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AN18"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E20" i="11"/>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AV20" i="17"/>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<sst xmlns="http://schemas.openxmlformats.org/spreadsheetml/2006/main" count="2102" uniqueCount="918">
  <si>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</si>
  <si>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</si>
  <si>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</si>
  <si>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</si>
  <si>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</si>
  <si>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</si>
  <si>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</si>
  <si>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</si>
  <si>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</si>
  <si>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</si>
  <si>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</si>
  <si>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</si>
  <si>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</si>
  <si>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</si>
  <si>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</si>
  <si>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</si>
  <si>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</si>
  <si>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</si>
  <si>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</si>
  <si>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</si>
  <si>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</si>
  <si>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</si>
  <si>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</si>
  <si>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</si>
  <si>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</si>
  <si>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</si>
  <si>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</si>
  <si>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</si>
  <si>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</si>
  <si>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</si>
  <si>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</si>
  <si>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</si>
  <si>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</si>
  <si>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</si>
  <si>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</si>
  <si>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</si>
  <si>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</si>
  <si>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</si>
  <si>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</si>
  <si>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</si>
  <si>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</si>
  <si>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</si>
  <si>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</si>
  <si>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</si>
  <si>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</si>
  <si>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</si>
  <si>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</si>
  <si>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</si>
  <si>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</si>
  <si>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</si>
  <si>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</si>
  <si>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</si>
  <si>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</si>
  <si>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</si>
  <si>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</si>
  <si>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</si>
  <si>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</si>
  <si>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</si>
  <si>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</si>
  <si>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</si>
  <si>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</si>
  <si>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</si>
  <si>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</si>
  <si>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</si>
  <si>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</si>
  <si>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</si>
  <si>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</si>
  <si>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</si>
  <si>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</si>
  <si>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</si>
  <si>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</si>
  <si>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</si>
  <si>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</si>
  <si>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</si>
  <si>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</si>
  <si>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</si>
  <si>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</si>
  <si>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</si>
  <si>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</si>
  <si>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</si>
  <si>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</si>
  <si>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</si>
  <si>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</si>
  <si>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</si>
  <si>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</si>
  <si>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</si>
  <si>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</si>
  <si>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</si>
  <si>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</si>
  <si>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</si>
  <si>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</si>
  <si>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</si>
  <si>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</si>
  <si>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</si>
  <si>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</si>
  <si>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</si>
  <si>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</si>
  <si>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</si>
  <si>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</si>
  <si>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</si>
  <si>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</si>
  <si>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</si>
  <si>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</si>
  <si>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</si>
  <si>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</si>
  <si>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</si>
  <si>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</si>
  <si>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</si>
  <si>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</si>
  <si>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</si>
  <si>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</si>
  <si>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</si>
  <si>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</si>
  <si>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</si>
  <si>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</si>
  <si>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</si>
  <si>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</si>
  <si>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</si>
  <si>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</si>
  <si>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</si>
  <si>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</si>
  <si>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</si>
  <si>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</si>
  <si>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</si>
  <si>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</si>
  <si>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</si>
  <si>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</si>
  <si>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</si>
  <si>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</si>
  <si>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</si>
  <si>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</si>
  <si>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</si>
  <si>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</si>
  <si>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</si>
  <si>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</si>
  <si>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</si>
  <si>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</si>
  <si>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</si>
  <si>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</si>
  <si>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</si>
  <si>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</si>
  <si>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</si>
  <si>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</si>
  <si>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</si>
  <si>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</si>
  <si>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</si>
  <si>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</si>
  <si>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</si>
  <si>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</si>
  <si>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</si>
  <si>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</si>
  <si>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</si>
  <si>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</si>
  <si>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</si>
  <si>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</si>
  <si>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</si>
  <si>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</si>
  <si>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</si>
  <si>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</si>
  <si>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</si>
  <si>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</si>
  <si>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</si>
  <si>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</si>
  <si>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</si>
  <si>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</si>
  <si>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</si>
  <si>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</si>
  <si>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</si>
  <si>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</si>
  <si>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</si>
  <si>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</si>
  <si>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</si>
  <si>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</si>
  <si>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</si>
  <si>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</si>
  <si>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</si>
  <si>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</si>
  <si>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</si>
  <si>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</si>
  <si>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</si>
  <si>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</si>
  <si>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</si>
  <si>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</si>
  <si>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</si>
  <si>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</si>
  <si>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</si>
  <si>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</si>
  <si>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</si>
  <si>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</si>
  <si>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</si>
  <si>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</si>
  <si>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</si>
  <si>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</si>
  <si>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</si>
  <si>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</si>
  <si>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</si>
  <si>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</si>
  <si>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</si>
  <si>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</si>
  <si>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</si>
  <si>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</si>
  <si>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</si>
  <si>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</si>
  <si>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</si>
  <si>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</si>
  <si>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</si>
  <si>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</si>
  <si>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</si>
  <si>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</si>
  <si>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</si>
  <si>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</si>
  <si>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</si>
  <si>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</si>
  <si>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</si>
  <si>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</si>
  <si>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</si>
  <si>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</si>
  <si>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</si>
  <si>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</si>
  <si>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</si>
  <si>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</si>
  <si>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</si>
  <si>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</si>
  <si>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</si>
  <si>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</si>
  <si>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</si>
  <si>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</si>
  <si>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</si>
  <si>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</si>
  <si>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</si>
  <si>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</si>
  <si>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</si>
  <si>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</si>
  <si>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</si>
  <si>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</si>
  <si>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</si>
  <si>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</si>
  <si>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</si>
  <si>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</si>
  <si>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</si>
  <si>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</si>
  <si>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</si>
  <si>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</si>
  <si>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</si>
  <si>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</si>
  <si>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</si>
  <si>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</si>
  <si>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</si>
  <si>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</si>
  <si>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</si>
  <si>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</si>
  <si>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</si>
  <si>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</si>
  <si>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</si>
  <si>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</si>
  <si>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</si>
  <si>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</si>
  <si>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</si>
  <si>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</si>
  <si>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</si>
  <si>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</si>
  <si>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</si>
  <si>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</si>
  <si>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</si>
  <si>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</si>
  <si>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</si>
  <si>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</si>
  <si>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</si>
  <si>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</si>
  <si>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</si>
  <si>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</si>
  <si>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</si>
  <si>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</si>
  <si>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</si>
  <si>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</si>
  <si>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</si>
  <si>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</si>
  <si>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</si>
  <si>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</si>
  <si>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</si>
  <si>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</si>
  <si>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</si>
  <si>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</si>
  <si>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</si>
  <si>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</si>
  <si>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</si>
  <si>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</si>
  <si>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</si>
  <si>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</si>
  <si>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</si>
  <si>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</si>
  <si>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</si>
  <si>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</si>
  <si>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</si>
  <si>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</si>
  <si>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</si>
  <si>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</si>
  <si>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</si>
  <si>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</si>
  <si>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</si>
  <si>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</si>
  <si>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</si>
  <si>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</si>
  <si>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</si>
  <si>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</si>
  <si>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</si>
  <si>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</si>
  <si>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</si>
  <si>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</si>
  <si>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</si>
  <si>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</si>
  <si>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</si>
  <si>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</si>
  <si>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</si>
  <si>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</si>
  <si>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</si>
  <si>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</si>
  <si>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</si>
  <si>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</si>
  <si>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</si>
  <si>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</si>
  <si>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</si>
  <si>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</si>
  <si>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</si>
  <si>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</si>
  <si>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</si>
  <si>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</si>
  <si>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</si>
  <si>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</si>
  <si>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</si>
  <si>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</si>
  <si>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</si>
  <si>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</si>
  <si>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</si>
  <si>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</si>
  <si>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</si>
  <si>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</si>
  <si>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</si>
  <si>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</si>
  <si>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</si>
  <si>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</si>
  <si>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</si>
  <si>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</si>
  <si>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</si>
  <si>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</si>
  <si>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</si>
  <si>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</si>
  <si>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</si>
  <si>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</si>
  <si>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</si>
  <si>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</si>
  <si>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</si>
  <si>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</si>
  <si>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</si>
  <si>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</si>
  <si>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</si>
  <si>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</si>
  <si>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</si>
  <si>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</si>
  <si>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</si>
  <si>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</si>
  <si>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</si>
  <si>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</si>
  <si>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</si>
  <si>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</si>
  <si>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</si>
  <si>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</si>
  <si>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</si>
  <si>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</si>
  <si>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</si>
  <si>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</si>
  <si>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</si>
  <si>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</si>
  <si>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</si>
  <si>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</si>
  <si>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</si>
  <si>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</si>
  <si>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</si>
  <si>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</si>
  <si>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</si>
  <si>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</si>
  <si>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</si>
  <si>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</si>
  <si>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</si>
  <si>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</si>
  <si>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</si>
  <si>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</si>
  <si>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</si>
  <si>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</si>
  <si>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</si>
  <si>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</si>
  <si>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</si>
  <si>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</si>
  <si>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</si>
  <si>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</si>
  <si>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</si>
  <si>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</si>
  <si>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</si>
  <si>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</si>
  <si>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</si>
  <si>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</si>
  <si>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</si>
  <si>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</si>
  <si>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</si>
  <si>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</si>
  <si>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</si>
  <si>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</si>
  <si>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</si>
  <si>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</si>
  <si>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</si>
  <si>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</si>
  <si>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</si>
  <si>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</si>
  <si>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</si>
  <si>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</si>
  <si>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</si>
  <si>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</si>
  <si>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</si>
  <si>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</si>
  <si>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</si>
  <si>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</si>
  <si>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</si>
  <si>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</si>
  <si>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</si>
  <si>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</si>
  <si>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</si>
  <si>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</si>
  <si>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</si>
  <si>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</si>
  <si>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</si>
  <si>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</si>
  <si>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</si>
  <si>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</si>
  <si>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</si>
  <si>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</si>
  <si>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</si>
  <si>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</si>
  <si>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</si>
  <si>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</si>
  <si>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</si>
  <si>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</si>
  <si>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</si>
  <si>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</si>
  <si>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</si>
  <si>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</si>
  <si>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</si>
  <si>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</si>
  <si>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</si>
  <si>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</si>
  <si>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</si>
  <si>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</si>
  <si>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</si>
  <si>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</si>
  <si>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</si>
  <si>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</si>
  <si>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</si>
  <si>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</si>
  <si>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</si>
  <si>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</si>
  <si>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</si>
  <si>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</si>
  <si>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</si>
  <si>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</si>
  <si>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</si>
  <si>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</si>
  <si>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</si>
  <si>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</si>
  <si>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</si>
  <si>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</si>
  <si>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</si>
  <si>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</si>
  <si>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</si>
  <si>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</si>
  <si>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</si>
  <si>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</si>
  <si>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</si>
  <si>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</si>
  <si>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</si>
  <si>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</si>
  <si>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</si>
  <si>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</si>
  <si>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</si>
  <si>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</si>
  <si>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</si>
  <si>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</si>
  <si>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</si>
  <si>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</si>
  <si>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</si>
  <si>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</si>
  <si>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</si>
  <si>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</si>
  <si>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</si>
  <si>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</si>
  <si>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</si>
  <si>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</si>
  <si>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</si>
  <si>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</si>
  <si>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</si>
  <si>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</si>
  <si>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</si>
  <si>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</si>
  <si>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</si>
  <si>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</si>
  <si>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</si>
  <si>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</si>
  <si>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</si>
  <si>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</si>
  <si>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</si>
  <si>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</si>
  <si>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</si>
  <si>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</si>
  <si>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</si>
  <si>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</si>
  <si>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</si>
  <si>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</si>
  <si>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</si>
  <si>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</si>
  <si>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</si>
  <si>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</si>
  <si>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</si>
  <si>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</si>
  <si>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</si>
  <si>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</si>
  <si>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</si>
  <si>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</si>
  <si>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</si>
  <si>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</si>
  <si>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</si>
  <si>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</si>
  <si>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</si>
  <si>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</si>
  <si>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</si>
  <si>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</si>
  <si>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</si>
  <si>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</si>
  <si>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</si>
  <si>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</si>
  <si>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</si>
  <si>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</si>
  <si>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</si>
  <si>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</si>
  <si>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</si>
  <si>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</si>
  <si>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</si>
  <si>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</si>
  <si>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</si>
  <si>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</si>
  <si>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</si>
  <si>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</si>
  <si>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</si>
  <si>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</si>
  <si>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</si>
  <si>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</si>
  <si>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</si>
  <si>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</si>
  <si>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</si>
  <si>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</si>
  <si>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</si>
  <si>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</si>
  <si>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</si>
  <si>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</si>
  <si>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</si>
  <si>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</si>
  <si>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</si>
  <si>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</si>
  <si>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</si>
  <si>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</si>
  <si>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</si>
  <si>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</si>
  <si>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</si>
  <si>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</si>
  <si>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</si>
  <si>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</si>
  <si>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</si>
  <si>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</si>
  <si>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</si>
  <si>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</si>
  <si>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</si>
  <si>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</si>
  <si>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</si>
  <si>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</si>
  <si>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</si>
  <si>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</si>
  <si>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</si>
  <si>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</si>
  <si>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</si>
  <si>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</si>
  <si>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</si>
  <si>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</si>
  <si>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</si>
  <si>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</si>
  <si>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</si>
  <si>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</si>
  <si>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</si>
  <si>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</si>
  <si>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</si>
  <si>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</si>
  <si>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</si>
  <si>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</si>
  <si>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</si>
  <si>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</si>
  <si>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</si>
  <si>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</si>
  <si>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</si>
  <si>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</si>
  <si>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</si>
  <si>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</si>
  <si>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</si>
  <si>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</si>
  <si>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</si>
  <si>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</si>
  <si>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</si>
  <si>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</si>
  <si>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</si>
  <si>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</si>
  <si>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</si>
  <si>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</si>
  <si>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</si>
  <si>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</si>
  <si>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</si>
  <si>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</si>
  <si>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</si>
  <si>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</si>
  <si>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</si>
  <si>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</si>
  <si>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</si>
  <si>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</si>
  <si>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</si>
  <si>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</si>
  <si>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</si>
  <si>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</si>
  <si>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</si>
  <si>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</si>
  <si>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</si>
  <si>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</si>
  <si>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</si>
  <si>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</si>
  <si>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</si>
  <si>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</si>
  <si>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</si>
  <si>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</si>
  <si>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</si>
  <si>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</si>
  <si>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</si>
  <si>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</si>
  <si>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</si>
  <si>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</si>
  <si>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</si>
  <si>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</si>
  <si>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</si>
  <si>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</si>
  <si>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</si>
  <si>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</si>
  <si>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</si>
  <si>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</si>
  <si>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</si>
  <si>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</si>
  <si>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</si>
  <si>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</si>
  <si>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</si>
  <si>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</si>
  <si>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</si>
  <si>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</si>
  <si>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</si>
  <si>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</si>
  <si>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</si>
  <si>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</si>
  <si>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</si>
  <si>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</si>
  <si>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</si>
  <si>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</si>
  <si>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</si>
  <si>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</si>
  <si>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</si>
  <si>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</si>
  <si>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</si>
  <si>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</si>
  <si>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</si>
  <si>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</si>
  <si>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</si>
  <si>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</si>
  <si>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</si>
  <si>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</si>
  <si>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</si>
  <si>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</si>
  <si>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</si>
  <si>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</si>
  <si>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</si>
  <si>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</si>
  <si>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</si>
  <si>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</si>
  <si>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</si>
  <si>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</si>
  <si>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</si>
  <si>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</si>
  <si>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</si>
  <si>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</si>
  <si>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</si>
  <si>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</si>
  <si>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</si>
  <si>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</si>
  <si>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</si>
  <si>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</si>
  <si>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</si>
  <si>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</si>
  <si>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</si>
  <si>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</si>
  <si>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</si>
  <si>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</si>
  <si>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</si>
  <si>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</si>
  <si>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</si>
  <si>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</si>
  <si>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</si>
  <si>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</si>
  <si>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</si>
  <si>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</si>
  <si>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</si>
  <si>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</si>
  <si>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</si>
  <si>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</si>
  <si>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</si>
  <si>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</si>
  <si>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</si>
  <si>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</si>
  <si>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</si>
  <si>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</si>
  <si>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</si>
  <si>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</si>
  <si>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</si>
  <si>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</si>
  <si>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</si>
  <si>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</si>
  <si>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</si>
  <si>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</si>
  <si>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</si>
  <si>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</si>
  <si>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</si>
  <si>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</si>
  <si>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</si>
  <si>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</si>
  <si>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</si>
  <si>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</si>
  <si>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</si>
  <si>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</si>
  <si>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</si>
  <si>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</si>
  <si>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</si>
  <si>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</si>
  <si>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</si>
  <si>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</si>
  <si>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</si>
  <si>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</si>
  <si>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</si>
  <si>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</si>
  <si>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</si>
  <si>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</si>
  <si>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</si>
  <si>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</si>
  <si>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</si>
  <si>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</si>
  <si>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</si>
  <si>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</si>
  <si>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</si>
  <si>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</si>
  <si>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</si>
  <si>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</si>
  <si>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</si>
  <si>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</si>
  <si>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</si>
  <si>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</si>
  <si>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</si>
  <si>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</si>
  <si>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</si>
  <si>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</si>
  <si>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</si>
  <si>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</si>
  <si>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</si>
  <si>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</si>
  <si>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</si>
  <si>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</si>
  <si>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</si>
  <si>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</si>
  <si>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</si>
  <si>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</si>
  <si>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</si>
  <si>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</si>
  <si>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</si>
  <si>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</si>
  <si>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</si>
  <si>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</si>
  <si>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</si>
  <si>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</si>
  <si>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</si>
  <si>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</si>
  <si>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</si>
  <si>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</si>
  <si>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</si>
  <si>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</si>
  <si>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</si>
  <si>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</si>
  <si>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</si>
  <si>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</si>
  <si>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</si>
  <si>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</si>
  <si>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</si>
  <si>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</si>
  <si>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</si>
  <si>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</si>
  <si>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</si>
  <si>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</si>
  <si>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</si>
  <si>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</si>
  <si>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</si>
  <si>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</si>
  <si>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</si>
  <si>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</si>
  <si>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</si>
  <si>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</si>
  <si>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</si>
  <si>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</si>
  <si>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</si>
  <si>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</si>
  <si>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</si>
  <si>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</si>
  <si>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</si>
  <si>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</si>
  <si>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</si>
  <si>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</si>
  <si>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</si>
  <si>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</si>
  <si>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</si>
  <si>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</si>
  <si>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</si>
  <si>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</si>
  <si>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</si>
  <si>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</si>
  <si>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</si>
  <si>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</si>
  <si>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</si>
  <si>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</si>
  <si>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</si>
  <si>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</si>
  <si>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</si>
  <si>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</si>
  <si>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</si>
  <si>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</si>
  <si>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</si>
  <si>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</si>
  <si>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</si>
  <si>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</si>
  <si>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</si>
  <si>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</si>
  <si>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</si>
  <si>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</si>
  <si>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</si>
  <si>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</si>
  <si>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</si>
  <si>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</si>
  <si>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</si>
  <si>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</si>
  <si>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</si>
  <si>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</si>
  <si>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</si>
  <si>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</si>
  <si>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</si>
  <si>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</si>
  <si>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</si>
  <si>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</si>
  <si>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</si>
  <si>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</si>
  <si>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</si>
  <si>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</si>
  <si>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</si>
  <si>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</si>
  <si>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</si>
  <si>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</si>
  <si>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</si>
  <si>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</si>
  <si>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</si>
  <si>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</si>
  <si>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</si>
  <si>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</si>
  <si>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</si>
  <si>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</si>
  <si>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</si>
  <si>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</si>
  <si>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</si>
  <si>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</si>
  <si>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</si>
  <si>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</si>
  <si>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</si>
  <si>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</si>
  <si>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</si>
  <si>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</si>
  <si>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</si>
  <si>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</si>
  <si>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</si>
  <si>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</si>
  <si>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</si>
  <si>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</si>
  <si>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</si>
  <si>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</si>
  <si>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</si>
  <si>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</si>
  <si>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</si>
  <si>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</si>
  <si>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</si>
  <si>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</si>
  <si>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</si>
  <si>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</si>
  <si>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</si>
  <si>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</si>
  <si>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</si>
  <si>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</si>
  <si>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LUGO</t>
  </si>
  <si>
    <t>Resumenes por Partidos Judiciales</t>
  </si>
  <si>
    <t>MONFORTE DE LEMOS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</si>
</sst>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8FMBA2HGElaXFJv8SqQqysbxpZNcPk9uGCCzS0NyOYI5Aoek2QdbCoiBb9WQtyHThTgO6AX4MPpOsIiQYX4lQ==" saltValue="yG6Pj3qxhzkjbeh+cEBPe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3</v>
      </c>
      <c r="E10" s="226">
        <f>IF(ISNUMBER(Datos!J10),Datos!J10," - ")</f>
        <v>17</v>
      </c>
      <c r="F10" s="226">
        <f>IF(ISNUMBER(Datos!K10),Datos!K10," - ")</f>
        <v>0</v>
      </c>
      <c r="G10" s="1034" t="str">
        <f>IF(Datos!E10&lt;&gt;"",Datos!E10,Datos!D10)</f>
        <v>37</v>
      </c>
      <c r="H10" s="227">
        <f>IF(ISNUMBER(Datos!L10),Datos!L10," - ")</f>
        <v>17</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16.457437661220979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3</v>
      </c>
      <c r="E13" s="1050">
        <f>SUBTOTAL(9,E9:E12)</f>
        <v>17</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795</v>
      </c>
      <c r="D16" s="225">
        <f>IF(ISNUMBER(IF(D_I="SI",Datos!I16,Datos!I16+Datos!AC16)),IF(D_I="SI",Datos!I16,Datos!I16+Datos!AC16)," - ")</f>
        <v>847</v>
      </c>
      <c r="E16" s="226">
        <f>IF(ISNUMBER(IF(D_I="SI",Datos!J16,Datos!J16+Datos!AD16)),IF(D_I="SI",Datos!J16,Datos!J16+Datos!AD16)," - ")</f>
        <v>1067</v>
      </c>
      <c r="F16" s="226">
        <f>IF(ISNUMBER(IF(D_I="SI",Datos!K16,Datos!K16+Datos!AE16)),IF(D_I="SI",Datos!K16,Datos!K16+Datos!AE16)," - ")</f>
        <v>923</v>
      </c>
      <c r="G16" s="1034" t="str">
        <f>IF(Datos!E16&lt;&gt;"",Datos!E16,Datos!D16)</f>
        <v>04</v>
      </c>
      <c r="H16" s="227">
        <f>IF(ISNUMBER(IF(D_I="SI",Datos!L16,Datos!L16+Datos!AF16)),IF(D_I="SI",Datos!L16,Datos!L16+Datos!AF16)," - ")</f>
        <v>939</v>
      </c>
      <c r="I16" s="1044" t="str">
        <f>IF(ISNUMBER(Datos!AS16/Datos!BM16),Datos!AS16/Datos!BM16," - ")</f>
        <v xml:space="preserve"> - </v>
      </c>
      <c r="J16" s="1045">
        <f>IF(ISNUMBER(Datos!BY16/Datos!CN16),Datos!BY16/Datos!CN16," - ")</f>
        <v>0</v>
      </c>
      <c r="K16" s="230">
        <f t="shared" si="3"/>
        <v>0.1811320754716981</v>
      </c>
      <c r="L16" s="1025">
        <f>IF(ISNUMBER(NºAsuntos!I16/NºAsuntos!G16),(NºAsuntos!I16/NºAsuntos!G16)*11," - ")</f>
        <v>11.190682556879739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81</v>
      </c>
      <c r="D17" s="225">
        <f>IF(ISNUMBER(IF(D_I="SI",Datos!I17,Datos!I17+Datos!AC17)),IF(D_I="SI",Datos!I17,Datos!I17+Datos!AC17)," - ")</f>
        <v>149</v>
      </c>
      <c r="E17" s="226">
        <f>IF(ISNUMBER(IF(D_I="SI",Datos!J17,Datos!J17+Datos!AD17)),IF(D_I="SI",Datos!J17,Datos!J17+Datos!AD17)," - ")</f>
        <v>162</v>
      </c>
      <c r="F17" s="226">
        <f>IF(ISNUMBER(IF(D_I="SI",Datos!K17,Datos!K17+Datos!AE17)),IF(D_I="SI",Datos!K17,Datos!K17+Datos!AE17)," - ")</f>
        <v>125</v>
      </c>
      <c r="G17" s="1034" t="str">
        <f>IF(Datos!E17&lt;&gt;"",Datos!E17,Datos!D17)</f>
        <v>37</v>
      </c>
      <c r="H17" s="227">
        <f>IF(ISNUMBER(IF(D_I="SI",Datos!L17,Datos!L17+Datos!AF17)),IF(D_I="SI",Datos!L17,Datos!L17+Datos!AF17)," - ")</f>
        <v>118</v>
      </c>
      <c r="I17" s="1044" t="str">
        <f>IF(ISNUMBER(Datos!AS17/Datos!BM17),Datos!AS17/Datos!BM17," - ")</f>
        <v xml:space="preserve"> - </v>
      </c>
      <c r="J17" s="1045" t="str">
        <f>IF(ISNUMBER((Datos!BY17+Datos!BZ17)/Datos!CN17),(Datos!BY17+Datos!BZ17)/Datos!CN17," - ")</f>
        <v xml:space="preserve"> - </v>
      </c>
      <c r="K17" s="230">
        <f t="shared" si="3"/>
        <v>0.4567901234567901</v>
      </c>
      <c r="L17" s="1025">
        <f>IF(ISNUMBER(NºAsuntos!I17/NºAsuntos!G17),(NºAsuntos!I17/NºAsuntos!G17)*11," - ")</f>
        <v>10.384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876</v>
      </c>
      <c r="D18" s="1049">
        <f>SUBTOTAL(9,D15:D17)</f>
        <v>996</v>
      </c>
      <c r="E18" s="1050">
        <f>SUBTOTAL(9,E15:E17)</f>
        <v>1229</v>
      </c>
      <c r="F18" s="1050">
        <f>SUBTOTAL(9,F15:F17)</f>
        <v>1048</v>
      </c>
      <c r="G18" s="1052" t="str">
        <f ca="1">INDIRECT(CONCATENATE("G",ROW()-1))</f>
        <v>37</v>
      </c>
      <c r="H18" s="1053">
        <f ca="1">SUMIF(G$14:G17,G18,H$14:H17)</f>
        <v>118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876</v>
      </c>
      <c r="D19" s="1071">
        <f>SUBTOTAL(9,D9:D18)</f>
        <v>999</v>
      </c>
      <c r="E19" s="1072">
        <f>SUBTOTAL(9,E9:E18)</f>
        <v>1246</v>
      </c>
      <c r="F19" s="1072">
        <f>SUBTOTAL(9,F9:F18)</f>
        <v>1048</v>
      </c>
      <c r="G19" s="1073"/>
      <c r="H19" s="1074">
        <f ca="1">SUMIF(B9:B18,"TOTAL",H9:H18)</f>
        <v>118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3H1Vgyu7n/YydQtVFUtn9I42IS1CthhxT4OU5krt2IIOJ9USvhWcr3RVGiL8bdiAZDDhBXBwyKVJ6nvSQkGmoA==" saltValue="unDotaqi/iLBz9vo+19wg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HYhP4W/5otn92DultMBQ760Eg2kzGSVZ2k3WxqAOLqSXDRSckvV7F0+sYmAcgcK6/3UWMRY071/ZfrBigRlg==" saltValue="kCBodq/pDrTjgETaIfGcm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17</v>
      </c>
      <c r="K10" s="181">
        <v>0</v>
      </c>
      <c r="L10" s="181">
        <v>17</v>
      </c>
      <c r="M10" s="181">
        <v>0</v>
      </c>
      <c r="N10" s="181">
        <v>0</v>
      </c>
      <c r="O10" s="181">
        <v>0</v>
      </c>
      <c r="P10" s="181">
        <v>0</v>
      </c>
      <c r="Q10" s="181">
        <v>0</v>
      </c>
      <c r="R10" s="181">
        <v>1</v>
      </c>
      <c r="S10" s="181">
        <v>39</v>
      </c>
      <c r="T10" s="181">
        <v>42</v>
      </c>
      <c r="U10" s="181">
        <v>23</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39</v>
      </c>
      <c r="AZ10" s="129">
        <f t="shared" si="0"/>
        <v>42</v>
      </c>
      <c r="BA10" s="129">
        <f t="shared" si="0"/>
        <v>23</v>
      </c>
      <c r="BB10" s="129">
        <f t="shared" si="0"/>
        <v>3</v>
      </c>
      <c r="BC10" s="125">
        <f t="shared" si="0"/>
        <v>0</v>
      </c>
      <c r="BD10" s="126">
        <f>IF(ISNUMBER(BA10/AZ10),BA10/AZ10," - ")</f>
        <v>0.54761904761904767</v>
      </c>
      <c r="BE10" s="127">
        <f>IF(ISNUMBER(BB10/BA10),BB10/BA10, " - ")</f>
        <v>0.13043478260869565</v>
      </c>
      <c r="BF10" s="127">
        <f>IF(ISNUMBER(BC10/BA10),BC10/BA10, " - ")</f>
        <v>0</v>
      </c>
      <c r="BG10" s="196">
        <f>IF(ISNUMBER((AY10+AZ10)/BA10),(AY10+AZ10)/BA10," - ")</f>
        <v>3.5217391304347827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1157</v>
      </c>
      <c r="J12" s="183">
        <v>1634</v>
      </c>
      <c r="K12" s="183">
        <v>979</v>
      </c>
      <c r="L12" s="183">
        <v>1596</v>
      </c>
      <c r="M12" s="183">
        <v>295</v>
      </c>
      <c r="N12" s="183">
        <v>363</v>
      </c>
      <c r="O12" s="181">
        <v>502</v>
      </c>
      <c r="P12" s="183">
        <v>267</v>
      </c>
      <c r="Q12" s="183">
        <v>129</v>
      </c>
      <c r="R12" s="183">
        <v>1131</v>
      </c>
      <c r="S12" s="183">
        <v>970</v>
      </c>
      <c r="T12" s="183">
        <v>1396</v>
      </c>
      <c r="U12" s="183">
        <v>1211</v>
      </c>
      <c r="V12" s="183">
        <v>1157</v>
      </c>
      <c r="W12" s="183">
        <v>326</v>
      </c>
      <c r="X12" s="189">
        <v>440</v>
      </c>
      <c r="Y12" s="191">
        <v>69</v>
      </c>
      <c r="Z12" s="181">
        <v>256</v>
      </c>
      <c r="AA12" s="181">
        <v>184</v>
      </c>
      <c r="AB12" s="181">
        <v>144</v>
      </c>
      <c r="AC12" s="183">
        <v>0</v>
      </c>
      <c r="AD12" s="183">
        <v>0</v>
      </c>
      <c r="AE12" s="183">
        <v>0</v>
      </c>
      <c r="AF12" s="189">
        <v>0</v>
      </c>
      <c r="AG12" s="202">
        <v>77</v>
      </c>
      <c r="AH12" s="183">
        <v>213</v>
      </c>
      <c r="AI12" s="183">
        <v>221</v>
      </c>
      <c r="AJ12" s="203">
        <v>69</v>
      </c>
      <c r="AK12" s="182">
        <v>0</v>
      </c>
      <c r="AL12" s="183">
        <v>0</v>
      </c>
      <c r="AM12" s="183">
        <v>0</v>
      </c>
      <c r="AN12" s="189">
        <v>0</v>
      </c>
      <c r="AO12" s="259">
        <v>2</v>
      </c>
      <c r="AP12" s="155">
        <v>2</v>
      </c>
      <c r="AQ12" s="155">
        <v>2</v>
      </c>
      <c r="AR12" s="154">
        <v>2</v>
      </c>
      <c r="AS12" s="340" t="s">
        <v>802</v>
      </c>
      <c r="AT12" s="203"/>
      <c r="AU12" s="202"/>
      <c r="AV12" s="203"/>
      <c r="AW12" s="202"/>
      <c r="AX12" s="203"/>
      <c r="AY12" s="126">
        <f t="shared" si="1"/>
        <v>1047</v>
      </c>
      <c r="AZ12" s="127">
        <f t="shared" si="1"/>
        <v>1609</v>
      </c>
      <c r="BA12" s="127">
        <f t="shared" si="1"/>
        <v>1432</v>
      </c>
      <c r="BB12" s="127">
        <f t="shared" si="1"/>
        <v>1226</v>
      </c>
      <c r="BC12" s="125">
        <f>IF(ISNUMBER(X12),X12," - ")</f>
        <v>440</v>
      </c>
      <c r="BD12" s="126">
        <f t="shared" si="2"/>
        <v>0.88999378495960224</v>
      </c>
      <c r="BE12" s="127">
        <f t="shared" si="3"/>
        <v>0.8561452513966481</v>
      </c>
      <c r="BF12" s="127">
        <f t="shared" si="4"/>
        <v>0.30726256983240224</v>
      </c>
      <c r="BG12" s="196">
        <f t="shared" si="5"/>
        <v>1.8547486033519553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1160</v>
      </c>
      <c r="J13" s="184">
        <f t="shared" si="6"/>
        <v>1651</v>
      </c>
      <c r="K13" s="184">
        <f t="shared" si="6"/>
        <v>979</v>
      </c>
      <c r="L13" s="184">
        <f t="shared" si="6"/>
        <v>1613</v>
      </c>
      <c r="M13" s="184">
        <f t="shared" si="6"/>
        <v>295</v>
      </c>
      <c r="N13" s="184">
        <f t="shared" si="6"/>
        <v>363</v>
      </c>
      <c r="O13" s="184">
        <f t="shared" si="6"/>
        <v>502</v>
      </c>
      <c r="P13" s="184">
        <f t="shared" si="6"/>
        <v>267</v>
      </c>
      <c r="Q13" s="184">
        <f t="shared" si="6"/>
        <v>129</v>
      </c>
      <c r="R13" s="184">
        <f t="shared" si="6"/>
        <v>1132</v>
      </c>
      <c r="S13" s="184">
        <f t="shared" si="6"/>
        <v>1009</v>
      </c>
      <c r="T13" s="184">
        <f t="shared" si="6"/>
        <v>1438</v>
      </c>
      <c r="U13" s="184">
        <f t="shared" si="6"/>
        <v>1234</v>
      </c>
      <c r="V13" s="184">
        <f t="shared" si="6"/>
        <v>1160</v>
      </c>
      <c r="W13" s="184">
        <f t="shared" si="6"/>
        <v>326</v>
      </c>
      <c r="X13" s="184">
        <f t="shared" si="6"/>
        <v>440</v>
      </c>
      <c r="Y13" s="184">
        <f t="shared" si="6"/>
        <v>69</v>
      </c>
      <c r="Z13" s="184">
        <f t="shared" si="6"/>
        <v>256</v>
      </c>
      <c r="AA13" s="184">
        <f t="shared" si="6"/>
        <v>184</v>
      </c>
      <c r="AB13" s="184">
        <f t="shared" si="6"/>
        <v>144</v>
      </c>
      <c r="AC13" s="184">
        <f t="shared" si="6"/>
        <v>0</v>
      </c>
      <c r="AD13" s="184">
        <f t="shared" si="6"/>
        <v>0</v>
      </c>
      <c r="AE13" s="184">
        <f t="shared" si="6"/>
        <v>0</v>
      </c>
      <c r="AF13" s="184">
        <f>SUBTOTAL(9,AF9:AF12)</f>
        <v>0</v>
      </c>
      <c r="AG13" s="184">
        <f t="shared" ref="AG13:AT13" si="7">SUBTOTAL(9,AG8:AG12)</f>
        <v>77</v>
      </c>
      <c r="AH13" s="184">
        <f t="shared" si="7"/>
        <v>213</v>
      </c>
      <c r="AI13" s="184">
        <f t="shared" si="7"/>
        <v>221</v>
      </c>
      <c r="AJ13" s="184">
        <f t="shared" si="7"/>
        <v>69</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1086</v>
      </c>
      <c r="AZ13" s="184">
        <f>SUBTOTAL(9,AZ8:AZ12)</f>
        <v>1651</v>
      </c>
      <c r="BA13" s="184">
        <f>SUBTOTAL(9,BA8:BA12)</f>
        <v>1455</v>
      </c>
      <c r="BB13" s="184">
        <f>SUBTOTAL(9,BB8:BB12)</f>
        <v>1229</v>
      </c>
      <c r="BC13" s="184">
        <f>SUBTOTAL(9,BC8:BC12)</f>
        <v>440</v>
      </c>
      <c r="BD13" s="205">
        <f>IF(ISNUMBER(BA13/AZ13),BA13/AZ13," - ")</f>
        <v>0.88128407026044819</v>
      </c>
      <c r="BE13" s="206">
        <f>IF(ISNUMBER(BB13/BA13),BB13/BA13, " - ")</f>
        <v>0.84467353951890034</v>
      </c>
      <c r="BF13" s="206">
        <f>IF(ISNUMBER(BC13/BA13),BC13/BA13, " - ")</f>
        <v>0.30240549828178692</v>
      </c>
      <c r="BG13" s="207">
        <f>IF(ISNUMBER((AY13+AZ13)/BA13),(AY13+AZ13)/BA13," - ")</f>
        <v>1.8810996563573883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847</v>
      </c>
      <c r="J16" s="183">
        <v>1067</v>
      </c>
      <c r="K16" s="183">
        <v>923</v>
      </c>
      <c r="L16" s="183">
        <v>939</v>
      </c>
      <c r="M16" s="183">
        <v>140</v>
      </c>
      <c r="N16" s="183">
        <v>511</v>
      </c>
      <c r="O16" s="181">
        <v>2</v>
      </c>
      <c r="P16" s="183">
        <v>26</v>
      </c>
      <c r="Q16" s="183">
        <v>15</v>
      </c>
      <c r="R16" s="183">
        <v>64</v>
      </c>
      <c r="S16" s="183">
        <v>796</v>
      </c>
      <c r="T16" s="183">
        <v>998</v>
      </c>
      <c r="U16" s="183">
        <v>947</v>
      </c>
      <c r="V16" s="183">
        <v>847</v>
      </c>
      <c r="W16" s="183">
        <v>117</v>
      </c>
      <c r="X16" s="189">
        <v>596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796</v>
      </c>
      <c r="AZ16" s="127">
        <f t="shared" si="9"/>
        <v>998</v>
      </c>
      <c r="BA16" s="127">
        <f t="shared" si="9"/>
        <v>947</v>
      </c>
      <c r="BB16" s="127">
        <f t="shared" si="9"/>
        <v>847</v>
      </c>
      <c r="BC16" s="125">
        <f>IF(ISNUMBER(W16),W16," - ")</f>
        <v>117</v>
      </c>
      <c r="BD16" s="126">
        <f t="shared" ref="BD16" si="11">IF(ISNUMBER(BA16/AZ16),BA16/AZ16," - ")</f>
        <v>0.94889779559118237</v>
      </c>
      <c r="BE16" s="127">
        <f t="shared" ref="BE16" si="12">IF(ISNUMBER(BB16/BA16),BB16/BA16, " - ")</f>
        <v>0.89440337909186907</v>
      </c>
      <c r="BF16" s="127">
        <f t="shared" ref="BF16" si="13">IF(ISNUMBER(BC16/BA16),BC16/BA16, " - ")</f>
        <v>0.1235480464625132</v>
      </c>
      <c r="BG16" s="196">
        <f t="shared" si="10"/>
        <v>1.8944033790918691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149</v>
      </c>
      <c r="J17" s="183">
        <v>162</v>
      </c>
      <c r="K17" s="183">
        <v>125</v>
      </c>
      <c r="L17" s="183">
        <v>118</v>
      </c>
      <c r="M17" s="183">
        <v>3</v>
      </c>
      <c r="N17" s="183">
        <v>101</v>
      </c>
      <c r="O17" s="183">
        <v>0</v>
      </c>
      <c r="P17" s="183">
        <v>0</v>
      </c>
      <c r="Q17" s="183">
        <v>0</v>
      </c>
      <c r="R17" s="183">
        <v>1</v>
      </c>
      <c r="S17" s="183">
        <v>117</v>
      </c>
      <c r="T17" s="183">
        <v>121</v>
      </c>
      <c r="U17" s="183">
        <v>89</v>
      </c>
      <c r="V17" s="183">
        <v>149</v>
      </c>
      <c r="W17" s="183">
        <v>1</v>
      </c>
      <c r="X17" s="189">
        <v>67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117</v>
      </c>
      <c r="AZ17" s="129">
        <f t="shared" si="14"/>
        <v>121</v>
      </c>
      <c r="BA17" s="129">
        <f t="shared" si="14"/>
        <v>89</v>
      </c>
      <c r="BB17" s="129">
        <f t="shared" si="14"/>
        <v>149</v>
      </c>
      <c r="BC17" s="125">
        <f>IF(ISNUMBER(W17),W17," - ")</f>
        <v>1</v>
      </c>
      <c r="BD17" s="126">
        <f>IF(ISNUMBER(BA17/AZ17),BA17/AZ17," - ")</f>
        <v>0.73553719008264462</v>
      </c>
      <c r="BE17" s="127">
        <f>IF(ISNUMBER(BB17/BA17),BB17/BA17, " - ")</f>
        <v>1.6741573033707866</v>
      </c>
      <c r="BF17" s="127">
        <f>IF(ISNUMBER(BC17/BA17),BC17/BA17, " - ")</f>
        <v>1.1235955056179775E-2</v>
      </c>
      <c r="BG17" s="196">
        <f>IF(ISNUMBER((AY17+AZ17)/BA17),(AY17+AZ17)/BA17," - ")</f>
        <v>2.6741573033707864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996</v>
      </c>
      <c r="J18" s="184">
        <f t="shared" si="15"/>
        <v>1229</v>
      </c>
      <c r="K18" s="184">
        <f t="shared" si="15"/>
        <v>1048</v>
      </c>
      <c r="L18" s="184">
        <f t="shared" si="15"/>
        <v>1057</v>
      </c>
      <c r="M18" s="184">
        <f t="shared" si="15"/>
        <v>143</v>
      </c>
      <c r="N18" s="184">
        <f t="shared" si="15"/>
        <v>612</v>
      </c>
      <c r="O18" s="184">
        <f t="shared" si="15"/>
        <v>2</v>
      </c>
      <c r="P18" s="184">
        <f t="shared" si="15"/>
        <v>26</v>
      </c>
      <c r="Q18" s="184">
        <f t="shared" si="15"/>
        <v>15</v>
      </c>
      <c r="R18" s="184">
        <f t="shared" si="15"/>
        <v>65</v>
      </c>
      <c r="S18" s="184">
        <f t="shared" si="15"/>
        <v>913</v>
      </c>
      <c r="T18" s="184">
        <f t="shared" si="15"/>
        <v>1119</v>
      </c>
      <c r="U18" s="184">
        <f t="shared" si="15"/>
        <v>1036</v>
      </c>
      <c r="V18" s="184">
        <f t="shared" si="15"/>
        <v>996</v>
      </c>
      <c r="W18" s="184">
        <f t="shared" si="15"/>
        <v>118</v>
      </c>
      <c r="X18" s="184">
        <f t="shared" si="15"/>
        <v>663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913</v>
      </c>
      <c r="AZ18" s="184">
        <f>SUBTOTAL(9,AZ14:AZ17)</f>
        <v>1119</v>
      </c>
      <c r="BA18" s="184">
        <f>SUBTOTAL(9,BA14:BA17)</f>
        <v>1036</v>
      </c>
      <c r="BB18" s="184">
        <f>SUBTOTAL(9,BB14:BB17)</f>
        <v>996</v>
      </c>
      <c r="BC18" s="184">
        <f>SUBTOTAL(9,BC14:BC17)</f>
        <v>118</v>
      </c>
      <c r="BD18" s="205">
        <f>IF(ISNUMBER(BA18/AZ18),BA18/AZ18," - ")</f>
        <v>0.92582663092046469</v>
      </c>
      <c r="BE18" s="206">
        <f>IF(ISNUMBER(BB18/BA18),BB18/BA18, " - ")</f>
        <v>0.96138996138996136</v>
      </c>
      <c r="BF18" s="206">
        <f>IF(ISNUMBER(BC18/BA18),BC18/BA18, " - ")</f>
        <v>0.11389961389961389</v>
      </c>
      <c r="BG18" s="207">
        <f>IF(ISNUMBER((AY18+AZ18)/BA18),(AY18+AZ18)/BA18," - ")</f>
        <v>1.9613899613899615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2156</v>
      </c>
      <c r="J19" s="134">
        <f t="shared" si="18"/>
        <v>2880</v>
      </c>
      <c r="K19" s="134">
        <f t="shared" si="18"/>
        <v>2027</v>
      </c>
      <c r="L19" s="134">
        <f t="shared" si="18"/>
        <v>2670</v>
      </c>
      <c r="M19" s="134">
        <f t="shared" si="18"/>
        <v>438</v>
      </c>
      <c r="N19" s="134">
        <f t="shared" si="18"/>
        <v>975</v>
      </c>
      <c r="O19" s="134">
        <f t="shared" si="18"/>
        <v>504</v>
      </c>
      <c r="P19" s="134">
        <f t="shared" si="18"/>
        <v>293</v>
      </c>
      <c r="Q19" s="134">
        <f t="shared" si="18"/>
        <v>144</v>
      </c>
      <c r="R19" s="134">
        <f t="shared" si="18"/>
        <v>1197</v>
      </c>
      <c r="S19" s="134">
        <f t="shared" si="18"/>
        <v>1922</v>
      </c>
      <c r="T19" s="134">
        <f t="shared" si="18"/>
        <v>2557</v>
      </c>
      <c r="U19" s="134">
        <f t="shared" si="18"/>
        <v>2270</v>
      </c>
      <c r="V19" s="134">
        <f t="shared" si="18"/>
        <v>2156</v>
      </c>
      <c r="W19" s="134">
        <f t="shared" si="18"/>
        <v>444</v>
      </c>
      <c r="X19" s="134">
        <f t="shared" si="18"/>
        <v>1103</v>
      </c>
      <c r="Y19" s="134">
        <f t="shared" si="18"/>
        <v>69</v>
      </c>
      <c r="Z19" s="134">
        <f t="shared" si="18"/>
        <v>256</v>
      </c>
      <c r="AA19" s="134">
        <f t="shared" si="18"/>
        <v>184</v>
      </c>
      <c r="AB19" s="134">
        <f t="shared" si="18"/>
        <v>144</v>
      </c>
      <c r="AC19" s="134">
        <f t="shared" si="18"/>
        <v>0</v>
      </c>
      <c r="AD19" s="134">
        <f t="shared" si="18"/>
        <v>0</v>
      </c>
      <c r="AE19" s="134">
        <f t="shared" si="18"/>
        <v>0</v>
      </c>
      <c r="AF19" s="134">
        <f t="shared" si="18"/>
        <v>0</v>
      </c>
      <c r="AG19" s="134">
        <f t="shared" si="18"/>
        <v>77</v>
      </c>
      <c r="AH19" s="134">
        <f t="shared" si="18"/>
        <v>213</v>
      </c>
      <c r="AI19" s="134">
        <f t="shared" si="18"/>
        <v>221</v>
      </c>
      <c r="AJ19" s="134">
        <f t="shared" si="18"/>
        <v>69</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1999</v>
      </c>
      <c r="AZ19" s="134">
        <f>SUBTOTAL(9,AZ9:AZ18)</f>
        <v>2770</v>
      </c>
      <c r="BA19" s="134">
        <f>SUBTOTAL(9,BA9:BA18)</f>
        <v>2491</v>
      </c>
      <c r="BB19" s="134">
        <f>SUBTOTAL(9,BB9:BB18)</f>
        <v>2225</v>
      </c>
      <c r="BC19" s="135">
        <f>SUBTOTAL(9,BC9:BC18)</f>
        <v>558</v>
      </c>
      <c r="BD19" s="213">
        <f>IF(ISNUMBER(BA19/AZ19),BA19/AZ19," - ")</f>
        <v>0.89927797833935019</v>
      </c>
      <c r="BE19" s="210">
        <f>IF(ISNUMBER(BB19/BA19),BB19/BA19, " - ")</f>
        <v>0.89321557607386592</v>
      </c>
      <c r="BF19" s="210">
        <f>IF(ISNUMBER(BC19/BA19),BC19/BA19, " - ")</f>
        <v>0.22400642312324368</v>
      </c>
      <c r="BG19" s="135">
        <f>IF(ISNUMBER((AY19+AZ19)/BA19),(AY19+AZ19)/BA19," - ")</f>
        <v>1.9144921718185468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EC8Y/gPv3TooeA9Z8IGCCnFRuArm2N7lbbAJgqa+A9zE68gGMPnDlyyd85kcIN93xT4Mr+Z/uuauC90pgo6MQ==" saltValue="PgRoBteW/FXILPScas740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6q6MfgXmdSpo7uMZOnOJdPtKfkLIRGHG83LzGXTp78zStywmlW8tEi9VRpXNTqyg7Yh3qeIfNdJSm5o4CIYfw==" saltValue="kBGUjboq6UZ9wyfM5oDNz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MONFORTE DE LEMOS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17</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256</v>
      </c>
      <c r="O12" s="334"/>
      <c r="P12" s="334"/>
      <c r="Q12" s="226">
        <f>IF(ISNUMBER(Datos!P12),Datos!P12,0)</f>
        <v>267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144</v>
      </c>
      <c r="AI12" s="334" t="str">
        <f>IF(ISNUMBER(Datos!CD12),Datos!CD12,"-")</f>
        <v>-</v>
      </c>
      <c r="AJ12" s="334" t="str">
        <f>IF(ISNUMBER(Datos!EN12),Datos!EN12," - ")</f>
        <v xml:space="preserve"> - </v>
      </c>
      <c r="AK12" s="334"/>
      <c r="AL12" s="479"/>
      <c r="AM12" s="335">
        <f>IF(ISNUMBER(Datos!R12),Datos!R12," - ")</f>
        <v>1131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295</v>
      </c>
      <c r="BD12" s="229">
        <f>IF(ISNUMBER(Datos!N12),Datos!N12," - ")</f>
        <v>363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0.6153439153439153</v>
      </c>
      <c r="BH12" s="260">
        <f>IF(ISNUMBER(((IF(J_V="SI",Datos!L12/Datos!K12,(Datos!L12+Datos!AB12)/(Datos!K12+Datos!AA12)))*11)/factor_trimestre),((IF(J_V="SI",Datos!L12/Datos!K12,(Datos!L12+Datos!AB12)/(Datos!K12+Datos!AA12)))*11)/factor_trimestre," - ")</f>
        <v>16.457437661220979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0.13897280966767372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0</v>
      </c>
      <c r="G13" s="898">
        <f t="shared" si="0"/>
        <v>3</v>
      </c>
      <c r="H13" s="899">
        <f t="shared" si="0"/>
        <v>0</v>
      </c>
      <c r="I13" s="898">
        <f t="shared" si="0"/>
        <v>0</v>
      </c>
      <c r="J13" s="867">
        <f t="shared" si="0"/>
        <v>0</v>
      </c>
      <c r="K13" s="867">
        <f t="shared" si="0"/>
        <v>0</v>
      </c>
      <c r="L13" s="899">
        <f t="shared" si="0"/>
        <v>0</v>
      </c>
      <c r="M13" s="899">
        <f t="shared" si="0"/>
        <v>0</v>
      </c>
      <c r="N13" s="899">
        <f t="shared" si="0"/>
        <v>256</v>
      </c>
      <c r="O13" s="900">
        <f t="shared" si="0"/>
        <v>0</v>
      </c>
      <c r="P13" s="900">
        <f t="shared" si="0"/>
        <v>0</v>
      </c>
      <c r="Q13" s="899">
        <f t="shared" si="0"/>
        <v>267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129</v>
      </c>
      <c r="AD13" s="899">
        <f t="shared" si="1"/>
        <v>0</v>
      </c>
      <c r="AE13" s="899">
        <f t="shared" si="1"/>
        <v>0</v>
      </c>
      <c r="AF13" s="899">
        <f t="shared" si="1"/>
        <v>17</v>
      </c>
      <c r="AG13" s="899">
        <f t="shared" si="1"/>
        <v>0</v>
      </c>
      <c r="AH13" s="899">
        <f t="shared" si="1"/>
        <v>144</v>
      </c>
      <c r="AI13" s="899">
        <f t="shared" si="1"/>
        <v>0</v>
      </c>
      <c r="AJ13" s="899">
        <f t="shared" si="1"/>
        <v>0</v>
      </c>
      <c r="AK13" s="899">
        <f t="shared" si="1"/>
        <v>0</v>
      </c>
      <c r="AL13" s="899">
        <f t="shared" si="1"/>
        <v>0</v>
      </c>
      <c r="AM13" s="899">
        <f t="shared" si="1"/>
        <v>1132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295</v>
      </c>
      <c r="BD13" s="899">
        <f t="shared" si="1"/>
        <v>363</v>
      </c>
      <c r="BE13" s="899">
        <f t="shared" si="1"/>
        <v>0</v>
      </c>
      <c r="BF13" s="899">
        <f t="shared" si="1"/>
        <v>0</v>
      </c>
      <c r="BG13" s="899">
        <f>IF(ISNUMBER(Datos!K13/Datos!J13),Datos!K13/Datos!J13," - ")</f>
        <v>0.59297395517867957</v>
      </c>
      <c r="BH13" s="903">
        <f>IF(ISNUMBER(((Datos!L13/Datos!K13)*11)/factor_trimestre),((Datos!L13/Datos!K13)*11)/factor_trimestre," - ")</f>
        <v>18.123595505617978</v>
      </c>
      <c r="BI13" s="899">
        <f>IF(ISNUMBER('Resol  Asuntos'!D13/NºAsuntos!G13),'Resol  Asuntos'!D13/NºAsuntos!G13," - ")</f>
        <v>0.25365434221840066</v>
      </c>
      <c r="BJ13" s="899" t="str">
        <f>IF(ISNUMBER(Datos!CI13/Datos!CJ13),Datos!CI13/Datos!CJ13," - ")</f>
        <v xml:space="preserve"> - </v>
      </c>
      <c r="BK13" s="899">
        <f>SUBTOTAL(9,BK8:BK12)</f>
        <v>0</v>
      </c>
      <c r="BL13" s="899" t="str">
        <f>IF(ISNUMBER((I13-AB13+L13)/(F13)),(I13-AB13+L13)/(F13)," - ")</f>
        <v xml:space="preserve"> - </v>
      </c>
      <c r="BM13" s="904">
        <f>SUBTOTAL(9,BM9:BM12)</f>
        <v>0.13897280966767372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795</v>
      </c>
      <c r="G16" s="598">
        <f>IF(ISNUMBER(IF(D_I="SI",Datos!I16,Datos!I16+Datos!AC16)),IF(D_I="SI",Datos!I16,Datos!I16+Datos!AC16)," - ")</f>
        <v>847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923</v>
      </c>
      <c r="AC16" s="226">
        <f>IF(ISNUMBER(Datos!Q16),Datos!Q16," - ")</f>
        <v>15</v>
      </c>
      <c r="AD16" s="334"/>
      <c r="AE16" s="484"/>
      <c r="AF16" s="596">
        <f>IF(ISNUMBER(IF(D_I="SI",Datos!L16,Datos!L16+Datos!AF16)),IF(D_I="SI",Datos!L16,Datos!L16+Datos!AF16)," - ")</f>
        <v>939</v>
      </c>
      <c r="AG16" s="334"/>
      <c r="AH16" s="334"/>
      <c r="AI16" s="334"/>
      <c r="AJ16" s="334"/>
      <c r="AK16" s="334"/>
      <c r="AL16" s="479"/>
      <c r="AM16" s="335">
        <f>IF(ISNUMBER(Datos!R16),Datos!R16," - ")</f>
        <v>64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140</v>
      </c>
      <c r="BD16" s="229">
        <f>IF(ISNUMBER(Datos!N16),Datos!N16," - ")</f>
        <v>511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0.86504217432052488</v>
      </c>
      <c r="BH16" s="260">
        <f>IF(ISNUMBER(((IF(D_I="SI",Datos!L16/Datos!K16,(Datos!L16+Datos!AF16)/(Datos!K16+Datos!AE16)))*11)/factor_trimestre),((IF(D_I="SI",Datos!L16/Datos!K16,(Datos!L16+Datos!AF16)/(Datos!K16+Datos!AE16)))*11)/factor_trimestre," - ")</f>
        <v>11.190682556879739</v>
      </c>
      <c r="BI16" s="243">
        <f>IF(ISNUMBER('Resol  Asuntos'!D16/NºAsuntos!G16),'Resol  Asuntos'!D16/NºAsuntos!G16," - ")</f>
        <v>0.15167930660888407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125</v>
      </c>
      <c r="AC17" s="226">
        <f>IF(ISNUMBER(Datos!Q17),Datos!Q17," - ")</f>
        <v>0</v>
      </c>
      <c r="AD17" s="334"/>
      <c r="AE17" s="484"/>
      <c r="AF17" s="332">
        <f>IF(ISNUMBER(Datos!L17),Datos!L17,"-")</f>
        <v>118</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101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0.77160493827160492</v>
      </c>
      <c r="BH17" s="260">
        <f>IF(ISNUMBER(((IF(D_I="SI",Datos!L17/Datos!K17,(Datos!L17+Datos!AF17)/(Datos!K17+Datos!AE17)))*11)/factor_trimestre),((IF(D_I="SI",Datos!L17/Datos!K17,(Datos!L17+Datos!AF17)/(Datos!K17+Datos!AE17)))*11)/factor_trimestre," - ")</f>
        <v>10.384</v>
      </c>
      <c r="BI17" s="243">
        <f>IF(ISNUMBER('Resol  Asuntos'!D17/NºAsuntos!G17),'Resol  Asuntos'!D17/NºAsuntos!G17," - ")</f>
        <v>2.4E-2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795</v>
      </c>
      <c r="G18" s="898">
        <f>SUBTOTAL(9,G15:G17)</f>
        <v>996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1048</v>
      </c>
      <c r="AC18" s="899">
        <f t="shared" si="4"/>
        <v>15</v>
      </c>
      <c r="AD18" s="899">
        <f t="shared" si="4"/>
        <v>0</v>
      </c>
      <c r="AE18" s="899">
        <f t="shared" si="4"/>
        <v>0</v>
      </c>
      <c r="AF18" s="899">
        <f t="shared" si="4"/>
        <v>1057</v>
      </c>
      <c r="AG18" s="899">
        <f t="shared" si="4"/>
        <v>0</v>
      </c>
      <c r="AH18" s="899">
        <f t="shared" si="4"/>
        <v>0</v>
      </c>
      <c r="AI18" s="899">
        <f t="shared" si="4"/>
        <v>0</v>
      </c>
      <c r="AJ18" s="899">
        <f t="shared" si="4"/>
        <v>0</v>
      </c>
      <c r="AK18" s="899">
        <f t="shared" si="4"/>
        <v>0</v>
      </c>
      <c r="AL18" s="899">
        <f t="shared" si="4"/>
        <v>0</v>
      </c>
      <c r="AM18" s="899">
        <f t="shared" si="4"/>
        <v>65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143</v>
      </c>
      <c r="BD18" s="899">
        <f t="shared" si="4"/>
        <v>612</v>
      </c>
      <c r="BE18" s="899">
        <f t="shared" si="4"/>
        <v>0</v>
      </c>
      <c r="BF18" s="899">
        <f t="shared" si="4"/>
        <v>0</v>
      </c>
      <c r="BG18" s="899">
        <f>IF(ISNUMBER(Datos!K18/Datos!J18),Datos!K18/Datos!J18," - ")</f>
        <v>0.85272579332790888</v>
      </c>
      <c r="BH18" s="903">
        <f>IF(ISNUMBER(((Datos!L18/Datos!K18)*11)/factor_trimestre),((Datos!L18/Datos!K18)*11)/factor_trimestre," - ")</f>
        <v>11.094465648854962</v>
      </c>
      <c r="BI18" s="899">
        <f>SUBTOTAL(9,BI15:BI17)</f>
        <v>0.17567930660888406</v>
      </c>
      <c r="BJ18" s="899">
        <f>SUBTOTAL(9,BJ15:BJ17)</f>
        <v>0</v>
      </c>
      <c r="BK18" s="899">
        <f>SUBTOTAL(9,BK15:BK17)</f>
        <v>0</v>
      </c>
      <c r="BL18" s="899">
        <f>IF(ISNUMBER((I18-AB18+L18)/(F18)),(I18-AB18+L18)/(F18)," - ")</f>
        <v>-1.3182389937106918</v>
      </c>
      <c r="BM18" s="905">
        <f>IF(ISNUMBER((Datos!P18-Datos!Q18)/(Datos!R18-Datos!P18+Datos!Q18)),(Datos!P18-Datos!Q18)/(Datos!R18-Datos!P18+Datos!Q18)," - ")</f>
        <v>0.20370370370370369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795</v>
      </c>
      <c r="G19" s="820">
        <f t="shared" si="6"/>
        <v>999</v>
      </c>
      <c r="H19" s="822">
        <f t="shared" si="6"/>
        <v>0</v>
      </c>
      <c r="I19" s="820">
        <f t="shared" si="6"/>
        <v>0</v>
      </c>
      <c r="J19" s="822">
        <f t="shared" si="6"/>
        <v>0</v>
      </c>
      <c r="K19" s="822">
        <f t="shared" si="6"/>
        <v>0</v>
      </c>
      <c r="L19" s="881">
        <f t="shared" si="6"/>
        <v>0</v>
      </c>
      <c r="M19" s="881">
        <f t="shared" si="6"/>
        <v>0</v>
      </c>
      <c r="N19" s="881">
        <f t="shared" si="6"/>
        <v>256</v>
      </c>
      <c r="O19" s="881">
        <f t="shared" si="6"/>
        <v>0</v>
      </c>
      <c r="P19" s="881">
        <f t="shared" si="6"/>
        <v>0</v>
      </c>
      <c r="Q19" s="822">
        <f t="shared" si="6"/>
        <v>293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1048</v>
      </c>
      <c r="AC19" s="821">
        <f t="shared" si="7"/>
        <v>144</v>
      </c>
      <c r="AD19" s="821">
        <f t="shared" si="7"/>
        <v>0</v>
      </c>
      <c r="AE19" s="821">
        <f t="shared" si="7"/>
        <v>0</v>
      </c>
      <c r="AF19" s="828">
        <f t="shared" si="7"/>
        <v>1074</v>
      </c>
      <c r="AG19" s="828">
        <f t="shared" si="7"/>
        <v>0</v>
      </c>
      <c r="AH19" s="828">
        <f t="shared" si="7"/>
        <v>144</v>
      </c>
      <c r="AI19" s="828">
        <f t="shared" si="7"/>
        <v>0</v>
      </c>
      <c r="AJ19" s="821">
        <f t="shared" si="7"/>
        <v>0</v>
      </c>
      <c r="AK19" s="828">
        <f t="shared" si="7"/>
        <v>0</v>
      </c>
      <c r="AL19" s="828">
        <f t="shared" si="7"/>
        <v>0</v>
      </c>
      <c r="AM19" s="828">
        <f t="shared" si="7"/>
        <v>1197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438</v>
      </c>
      <c r="BD19" s="820">
        <f t="shared" si="7"/>
        <v>975</v>
      </c>
      <c r="BE19" s="820">
        <f t="shared" si="7"/>
        <v>0</v>
      </c>
      <c r="BF19" s="830">
        <f t="shared" si="7"/>
        <v>0</v>
      </c>
      <c r="BG19" s="915">
        <f>IF(ISNUMBER(Datos!K19/Datos!J19),Datos!K19/Datos!J19," - ")</f>
        <v>0.70381944444444444</v>
      </c>
      <c r="BH19" s="915">
        <f>IF(ISNUMBER(((Datos!L19/Datos!K19)*11)/factor_trimestre),((Datos!L19/Datos!K19)*11)/factor_trimestre," - ")</f>
        <v>14.489393191909226</v>
      </c>
      <c r="BI19" s="813">
        <f>IF(ISNUMBER(Datos!J19/Datos!I19),Datos!J19/Datos!I19," - ")</f>
        <v>1.3358070500927643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-1.3182389937106918</v>
      </c>
      <c r="BM19" s="889">
        <f>IF(ISNUMBER((Datos!P19-Datos!Q19+R19)/(Datos!R19-Datos!P19+Datos!Q19-R19)),(Datos!P19-Datos!Q19+R19)/(Datos!R19-Datos!P19+Datos!Q19-R19)," - ")</f>
        <v>0.14217557251908397</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399.6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458.99346400575246</v>
      </c>
      <c r="G21" s="552">
        <f>IF(ISNUMBER(STDEV(G8:G18)),STDEV(G8:G18),"-")</f>
        <v>483.02256676060176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521.34796441532217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131.3103194726142</v>
      </c>
      <c r="BD21" s="551"/>
      <c r="BE21" s="551">
        <f>IF(ISNUMBER(STDEV(BE8:BE18)),STDEV(BE8:BE18),"-")</f>
        <v>0</v>
      </c>
      <c r="BF21" s="556">
        <f>IF(ISNUMBER(STDEV(BF8:BF18)),STDEV(BF8:BF18),"-")</f>
        <v>0</v>
      </c>
      <c r="BG21" s="775">
        <f>IF(ISNUMBER(STDEV(BG8:BG18)),STDEV(BG8:BG18),"-")</f>
        <v>0.32319039446263226</v>
      </c>
      <c r="BH21" s="776">
        <f>IF(ISNUMBER(STDEV(BH8:BH18)),STDEV(BH8:BH18),"-")</f>
        <v>3.5686338288585762</v>
      </c>
      <c r="BI21" s="249">
        <f>IF(ISNUMBER(STDEV(BI8:BI18)),STDEV(BI8:BI18),"-")</f>
        <v>9.5352306542243248E-2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U1sDPJ05zb+939j1OGc2R0LmEMtxTDOp0ZnYmr+dkJ43RkWv2uycQIz9+gDMxM3SdOaLCiKYpSEsPwI0WUkwOg==" saltValue="no6lnWDgtJkMn4SwwSIi/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MONFORTE DE LEMOS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17</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267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129</v>
      </c>
      <c r="AA12" s="332" t="str">
        <f>IF(ISNUMBER(IF(J_V="SI",Datos!L12,Datos!L12+Datos!AB12)-IF(Monitorios="SI",Datos!CD12,0)),
                          IF(J_V="SI",Datos!L12,Datos!L12+Datos!AB12)-IF(Monitorios="SI",Datos!CD12,0),
                          " - ")</f>
        <v xml:space="preserve"> - </v>
      </c>
      <c r="AB12" s="334"/>
      <c r="AC12" s="334"/>
      <c r="AD12" s="484"/>
      <c r="AE12" s="484">
        <f>IF(ISNUMBER(Datos!R12),Datos!R12," - ")</f>
        <v>1131</v>
      </c>
      <c r="AF12" s="229" t="str">
        <f>IF(ISNUMBER(Datos!BV12),Datos!BV12," - ")</f>
        <v xml:space="preserve"> - </v>
      </c>
      <c r="AG12" s="225" t="str">
        <f>IF(ISNUMBER(Datos!DV12),Datos!DV12," - ")</f>
        <v xml:space="preserve"> - </v>
      </c>
      <c r="AH12" s="298"/>
      <c r="AI12" s="227"/>
      <c r="AJ12" s="225">
        <f>IF(ISNUMBER(Datos!M12),Datos!M12," - ")</f>
        <v>295</v>
      </c>
      <c r="AK12" s="229">
        <f>IF(ISNUMBER(Datos!N12),Datos!N12," - ")</f>
        <v>363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16.457437661220979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0.13897280966767372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0</v>
      </c>
      <c r="G13" s="898">
        <f>SUBTOTAL(9,G8:G12)</f>
        <v>3</v>
      </c>
      <c r="H13" s="908"/>
      <c r="I13" s="898">
        <f t="shared" ref="I13:N13" si="0">SUBTOTAL(9,I8:I12)</f>
        <v>0</v>
      </c>
      <c r="J13" s="867">
        <f t="shared" si="0"/>
        <v>0</v>
      </c>
      <c r="K13" s="908">
        <f t="shared" si="0"/>
        <v>0</v>
      </c>
      <c r="L13" s="908">
        <f t="shared" si="0"/>
        <v>0</v>
      </c>
      <c r="M13" s="908">
        <f t="shared" si="0"/>
        <v>0</v>
      </c>
      <c r="N13" s="908">
        <f t="shared" si="0"/>
        <v>267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129</v>
      </c>
      <c r="AA13" s="900">
        <f t="shared" si="2"/>
        <v>17</v>
      </c>
      <c r="AB13" s="900">
        <f t="shared" si="2"/>
        <v>0</v>
      </c>
      <c r="AC13" s="900">
        <f t="shared" si="2"/>
        <v>0</v>
      </c>
      <c r="AD13" s="900">
        <f t="shared" si="2"/>
        <v>0</v>
      </c>
      <c r="AE13" s="900">
        <f t="shared" si="2"/>
        <v>1132</v>
      </c>
      <c r="AF13" s="908">
        <f t="shared" si="2"/>
        <v>0</v>
      </c>
      <c r="AG13" s="908">
        <f t="shared" si="2"/>
        <v>0</v>
      </c>
      <c r="AH13" s="908">
        <f t="shared" si="2"/>
        <v>0</v>
      </c>
      <c r="AI13" s="908">
        <f t="shared" si="2"/>
        <v>0</v>
      </c>
      <c r="AJ13" s="908">
        <f t="shared" si="2"/>
        <v>295</v>
      </c>
      <c r="AK13" s="908">
        <f t="shared" si="2"/>
        <v>363</v>
      </c>
      <c r="AL13" s="908">
        <f t="shared" si="2"/>
        <v>0</v>
      </c>
      <c r="AM13" s="908">
        <f t="shared" si="2"/>
        <v>0</v>
      </c>
      <c r="AN13" s="908">
        <f t="shared" si="2"/>
        <v>0</v>
      </c>
      <c r="AO13" s="904">
        <f>IF(ISNUMBER(((NºAsuntos!I13/NºAsuntos!G13)*11)/factor_trimestre),((NºAsuntos!I13/NºAsuntos!G13)*11)/factor_trimestre," - ")</f>
        <v>16.618228718830611</v>
      </c>
      <c r="AP13" s="910" t="str">
        <f>IF(ISNUMBER(Datos!CI13/Datos!CJ13),Datos!CI13/Datos!CJ13," - ")</f>
        <v xml:space="preserve"> - </v>
      </c>
      <c r="AQ13" s="928">
        <f t="shared" ref="AQ13:AV13" si="3">SUBTOTAL(9,AQ9:AQ12)</f>
        <v>0</v>
      </c>
      <c r="AR13" s="928">
        <f t="shared" si="3"/>
        <v>0.13897280966767372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795</v>
      </c>
      <c r="G16" s="225">
        <f>IF(ISNUMBER(IF(D_I="SI",Datos!I16,Datos!I16+Datos!AC16)),IF(D_I="SI",Datos!I16,Datos!I16+Datos!AC16)," - ")</f>
        <v>847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923</v>
      </c>
      <c r="Z16" s="619">
        <f>IF(ISNUMBER(Datos!Q16),Datos!Q16," - ")</f>
        <v>15</v>
      </c>
      <c r="AA16" s="332">
        <f>IF(ISNUMBER(IF(D_I="SI",Datos!L16,Datos!L16+Datos!AF16)),IF(D_I="SI",Datos!L16,Datos!L16+Datos!AF16)," - ")</f>
        <v>939</v>
      </c>
      <c r="AB16" s="334"/>
      <c r="AC16" s="334"/>
      <c r="AD16" s="484"/>
      <c r="AE16" s="484">
        <f>IF(ISNUMBER(Datos!R16),Datos!R16," - ")</f>
        <v>64</v>
      </c>
      <c r="AF16" s="229" t="str">
        <f>IF(ISNUMBER(Datos!BV16),Datos!BV16," - ")</f>
        <v xml:space="preserve"> - </v>
      </c>
      <c r="AG16" s="225"/>
      <c r="AH16" s="298"/>
      <c r="AI16" s="227"/>
      <c r="AJ16" s="225">
        <f>IF(ISNUMBER(Datos!M16),Datos!M16," - ")</f>
        <v>140</v>
      </c>
      <c r="AK16" s="229">
        <f>IF(ISNUMBER(Datos!N16),Datos!N16," - ")</f>
        <v>511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11.190682556879739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125</v>
      </c>
      <c r="Z17" s="619">
        <f>IF(ISNUMBER(Datos!Q17),Datos!Q17," - ")</f>
        <v>0</v>
      </c>
      <c r="AA17" s="332">
        <f>IF(ISNUMBER(Datos!L17),Datos!L17,"-")</f>
        <v>118</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3</v>
      </c>
      <c r="AK17" s="229">
        <f>IF(ISNUMBER(Datos!N17),Datos!N17," - ")</f>
        <v>101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10.384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795</v>
      </c>
      <c r="G18" s="898">
        <f>SUBTOTAL(9,G15:G17)</f>
        <v>996</v>
      </c>
      <c r="H18" s="932">
        <f>SUBTOTAL(9,H15:H17)</f>
        <v>0</v>
      </c>
      <c r="I18" s="911">
        <f>SUBTOTAL(9,I15:I17)</f>
        <v>0</v>
      </c>
      <c r="J18" s="867">
        <f>SUBTOTAL(9,J14:J17)</f>
        <v>0</v>
      </c>
      <c r="K18" s="932">
        <f t="shared" ref="K18:S18" si="4">SUBTOTAL(9,K15:K17)</f>
        <v>0</v>
      </c>
      <c r="L18" s="932">
        <f t="shared" si="4"/>
        <v>0</v>
      </c>
      <c r="M18" s="932">
        <f t="shared" si="4"/>
        <v>0</v>
      </c>
      <c r="N18" s="932">
        <f t="shared" si="4"/>
        <v>26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1048</v>
      </c>
      <c r="Z18" s="932">
        <f t="shared" si="5"/>
        <v>15</v>
      </c>
      <c r="AA18" s="932">
        <f t="shared" si="5"/>
        <v>1057</v>
      </c>
      <c r="AB18" s="932">
        <f t="shared" si="5"/>
        <v>0</v>
      </c>
      <c r="AC18" s="932">
        <f t="shared" si="5"/>
        <v>0</v>
      </c>
      <c r="AD18" s="932">
        <f t="shared" si="5"/>
        <v>0</v>
      </c>
      <c r="AE18" s="932">
        <f t="shared" si="5"/>
        <v>65</v>
      </c>
      <c r="AF18" s="932">
        <f t="shared" si="5"/>
        <v>0</v>
      </c>
      <c r="AG18" s="932">
        <f t="shared" si="5"/>
        <v>0</v>
      </c>
      <c r="AH18" s="932">
        <f t="shared" si="5"/>
        <v>0</v>
      </c>
      <c r="AI18" s="932">
        <f t="shared" si="5"/>
        <v>0</v>
      </c>
      <c r="AJ18" s="932">
        <f t="shared" si="5"/>
        <v>143</v>
      </c>
      <c r="AK18" s="932">
        <f t="shared" si="5"/>
        <v>612</v>
      </c>
      <c r="AL18" s="932">
        <f t="shared" si="5"/>
        <v>0</v>
      </c>
      <c r="AM18" s="932">
        <f t="shared" si="5"/>
        <v>0</v>
      </c>
      <c r="AN18" s="932">
        <f t="shared" si="5"/>
        <v>0</v>
      </c>
      <c r="AO18" s="934">
        <f>IF(ISNUMBER(((NºAsuntos!I18/NºAsuntos!G18)*11)/factor_trimestre),((NºAsuntos!I18/NºAsuntos!G18)*11)/factor_trimestre," - ")</f>
        <v>11.094465648854962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795</v>
      </c>
      <c r="G19" s="820">
        <f t="shared" si="7"/>
        <v>999</v>
      </c>
      <c r="H19" s="821">
        <f t="shared" si="7"/>
        <v>0</v>
      </c>
      <c r="I19" s="820">
        <f t="shared" si="7"/>
        <v>0</v>
      </c>
      <c r="J19" s="822">
        <f t="shared" si="7"/>
        <v>0</v>
      </c>
      <c r="K19" s="820">
        <f t="shared" si="7"/>
        <v>0</v>
      </c>
      <c r="L19" s="823">
        <f t="shared" si="7"/>
        <v>0</v>
      </c>
      <c r="M19" s="820">
        <f t="shared" si="7"/>
        <v>0</v>
      </c>
      <c r="N19" s="821">
        <f t="shared" si="7"/>
        <v>293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1048</v>
      </c>
      <c r="Z19" s="827">
        <f t="shared" si="8"/>
        <v>144</v>
      </c>
      <c r="AA19" s="828">
        <f t="shared" si="8"/>
        <v>1074</v>
      </c>
      <c r="AB19" s="828">
        <f t="shared" si="8"/>
        <v>0</v>
      </c>
      <c r="AC19" s="828">
        <f t="shared" si="8"/>
        <v>0</v>
      </c>
      <c r="AD19" s="829">
        <f t="shared" si="8"/>
        <v>0</v>
      </c>
      <c r="AE19" s="829">
        <f t="shared" si="8"/>
        <v>1197</v>
      </c>
      <c r="AF19" s="830">
        <f t="shared" si="8"/>
        <v>0</v>
      </c>
      <c r="AG19" s="831">
        <f t="shared" si="8"/>
        <v>0</v>
      </c>
      <c r="AH19" s="832">
        <f t="shared" si="8"/>
        <v>0</v>
      </c>
      <c r="AI19" s="830">
        <f t="shared" si="8"/>
        <v>0</v>
      </c>
      <c r="AJ19" s="820">
        <f t="shared" si="8"/>
        <v>438</v>
      </c>
      <c r="AK19" s="820">
        <f t="shared" si="8"/>
        <v>975</v>
      </c>
      <c r="AL19" s="820">
        <f t="shared" si="8"/>
        <v>0</v>
      </c>
      <c r="AM19" s="833">
        <f t="shared" si="8"/>
        <v>0</v>
      </c>
      <c r="AN19" s="823">
        <f>IF(ISNUMBER(Datos!K19/Datos!J19),Datos!K19/Datos!J19," - ")</f>
        <v>0.70381944444444444</v>
      </c>
      <c r="AO19" s="823">
        <f>IF(ISNUMBER(FIND("06",Criterios!A8,1)),(IF(ISNUMBER(((Datos!R19/Datos!Q19)*11)/factor_trimestre),((Datos!R19/Datos!Q19)*11)/factor_trimestre," - ")),(IF(ISNUMBER(((Datos!L19/Datos!K19)*11)/factor_trimestre),((Datos!L19/Datos!K19)*11)/factor_trimestre," - ")))</f>
        <v>14.489393191909226</v>
      </c>
      <c r="AP19" s="834" t="str">
        <f>IF(ISNUMBER(Datos!CI19/Datos!CJ19),Datos!CI19/Datos!CJ19," - ")</f>
        <v xml:space="preserve"> - </v>
      </c>
      <c r="AQ19" s="834">
        <f>IF(OR(ISNUMBER(FIND("01",Criterios!A8,1)),ISNUMBER(FIND("02",Criterios!A8,1)),ISNUMBER(FIND("03",Criterios!A8,1)),ISNUMBER(FIND("04",Criterios!A8,1))),(J19-Y19+K19)/(F19-K19),(I19-Y19+K19)/(F19-K19))</f>
        <v>-1.3182389937106918</v>
      </c>
      <c r="AR19" s="834">
        <f>IF(ISNUMBER((Datos!P19-Datos!Q19+O19)/(Datos!R19-Datos!P19+Datos!Q19-O19)),(Datos!P19-Datos!Q19+O19)/(Datos!R19-Datos!P19+Datos!Q19-O19)," - ")</f>
        <v>0.14217557251908397</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399.6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458.99346400575246</v>
      </c>
      <c r="G21" s="552">
        <f>IF(ISNUMBER(STDEV(G8:G18)),STDEV(G8:G18),"-")</f>
        <v>483.02256676060176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131.3103194726142</v>
      </c>
      <c r="AK21" s="252"/>
      <c r="AL21" s="252">
        <f>IF(ISNUMBER(STDEV(AL8:AL18)),STDEV(AL8:AL18),"-")</f>
        <v>0</v>
      </c>
      <c r="AM21" s="254">
        <f>IF(ISNUMBER(STDEV(AM8:AM18)),STDEV(AM8:AM18),"-")</f>
        <v>0</v>
      </c>
      <c r="AN21" s="539">
        <f>IF(ISNUMBER(STDEV(AN8:AN18)),STDEV(AN8:AN18),"-")</f>
        <v>0</v>
      </c>
      <c r="AO21" s="540">
        <f>IF(ISNUMBER(STDEV(AO8:AO18)),STDEV(AO8:AO18),"-")</f>
        <v>3.1097689328522846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wZG+yGXWeGjUnzA/DXFa5IDvsBW3H3ItEydG1nTHNh2kMJNJtRr4JRgasl9pt/T5b1nrIFj9xW+PHA42MSyHug==" saltValue="iH+nA6427IFt/qbcGgd+i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GD35DZWNbpT8mx3ggfH6FhCBMaZX3KDhWY6CZ8VwJdcUcbiscBImLjibjJ/w97rqchVVWPolmJUTur+g3phfQ==" saltValue="B9U7+S3fmqFVK0q7CRLEE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wbXFQ4LiLlxQ3owLEVmgXhVBBVOJMaePRmByNeBUKkAWTPqAs6qbOxAFrHqvMLVlwIsoEaBUfnZKbvE5okLBA==" saltValue="lDSrUoSsojDSmtyrVYtTR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MONFORTE DE LEMOS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0.25365434221840066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0.17936070546004429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1QguiJWQ+k+oKyXp1zXjlZVsktKq80aB4Xe04rz7Ky7lOAQcC8ZwuIVuaJcb2ZOBCFUGGLe+8UO1AJh32zXEmQ==" saltValue="Jpha/QispnyhRoDUjULUh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fE+qN5Z0OEAQI0Y4zPE1HWjKlkAMUSDyFI1Gzb5cPLoXcmj/F9fpnXGYk2NrQn/Qa6JAWl/3fV8p6/AtRWSOA==" saltValue="jqpgZD3BE7Ef3syMzKoqX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MONFORTE DE LEMOS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17</v>
      </c>
      <c r="F10" s="404">
        <f>IF(ISNUMBER(E10/B10),E10/B10," - ")</f>
        <v>17</v>
      </c>
      <c r="G10" s="403">
        <f>IF(ISNUMBER(Datos!K10),Datos!K10," - ")</f>
        <v>0</v>
      </c>
      <c r="H10" s="404">
        <f>IF(ISNUMBER(G10/B10),G10/B10," - ")</f>
        <v>0</v>
      </c>
      <c r="I10" s="403">
        <f>IF(ISNUMBER(Datos!L10),Datos!L10," - ")</f>
        <v>17</v>
      </c>
      <c r="J10" s="404">
        <f>IF(ISNUMBER(I10/B10),I10/B10," - ")</f>
        <v>17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1226</v>
      </c>
      <c r="D12" s="404">
        <f>IF(ISNUMBER(C12/Datos!BH12),C12/Datos!BH12," - ")</f>
        <v>613</v>
      </c>
      <c r="E12" s="403">
        <f>IF(ISNUMBER(IF(J_V="SI",Datos!J12,Datos!J12+Datos!Z12)),IF(J_V="SI",Datos!J12,Datos!J12+Datos!Z12)," - ")</f>
        <v>1890</v>
      </c>
      <c r="F12" s="404">
        <f>IF(ISNUMBER(E12/B12),E12/B12," - ")</f>
        <v>945</v>
      </c>
      <c r="G12" s="403">
        <f>IF(ISNUMBER(IF(J_V="SI",Datos!K12,Datos!K12+Datos!AA12)),IF(J_V="SI",Datos!K12,Datos!K12+Datos!AA12)," - ")</f>
        <v>1163</v>
      </c>
      <c r="H12" s="404">
        <f>IF(ISNUMBER(G12/B12),G12/B12," - ")</f>
        <v>581.5</v>
      </c>
      <c r="I12" s="403">
        <f>IF(ISNUMBER(IF(J_V="SI",Datos!L12,Datos!L12+Datos!AB12)),IF(J_V="SI",Datos!L12,Datos!L12+Datos!AB12)," - ")</f>
        <v>1740</v>
      </c>
      <c r="J12" s="404">
        <f>IF(ISNUMBER(I12/B12),I12/B12," - ")</f>
        <v>870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1229</v>
      </c>
      <c r="D13" s="850" t="str">
        <f>IF(ISNUMBER(C13/Datos!BI13),C13/Datos!BI13," - ")</f>
        <v xml:space="preserve"> - </v>
      </c>
      <c r="E13" s="849">
        <f>SUBTOTAL(9,E8:E12)</f>
        <v>1907</v>
      </c>
      <c r="F13" s="850">
        <f>IF(ISNUMBER(E13/B13),E13/B13," - ")</f>
        <v>953.5</v>
      </c>
      <c r="G13" s="849">
        <f>SUBTOTAL(9,G8:G12)</f>
        <v>1163</v>
      </c>
      <c r="H13" s="850">
        <f>IF(ISNUMBER(G13/B13),G13/B13," - ")</f>
        <v>581.5</v>
      </c>
      <c r="I13" s="849">
        <f>SUBTOTAL(9,I8:I12)</f>
        <v>1757</v>
      </c>
      <c r="J13" s="850">
        <f>IF(ISNUMBER(I13/B13),I13/B13," - ")</f>
        <v>878.5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847</v>
      </c>
      <c r="D16" s="404">
        <f>IF(ISNUMBER(C16/Datos!BH16),C16/Datos!BH16," - ")</f>
        <v>423.5</v>
      </c>
      <c r="E16" s="403">
        <f>IF(ISNUMBER(IF(D_I="SI",Datos!J16,Datos!J16+Datos!AD16)),IF(D_I="SI",Datos!J16,Datos!J16+Datos!AD16)," - ")</f>
        <v>1067</v>
      </c>
      <c r="F16" s="404">
        <f>IF(ISNUMBER(E16/B16),E16/B16," - ")</f>
        <v>533.5</v>
      </c>
      <c r="G16" s="403">
        <f>IF(ISNUMBER(IF(D_I="SI",Datos!K16,Datos!K16+Datos!AE16)),IF(D_I="SI",Datos!K16,Datos!K16+Datos!AE16)," - ")</f>
        <v>923</v>
      </c>
      <c r="H16" s="404">
        <f>IF(ISNUMBER(G16/B16),G16/B16," - ")</f>
        <v>461.5</v>
      </c>
      <c r="I16" s="403">
        <f>IF(ISNUMBER(IF(D_I="SI",Datos!L16,Datos!L16+Datos!AF16)),IF(D_I="SI",Datos!L16,Datos!L16+Datos!AF16)," - ")</f>
        <v>939</v>
      </c>
      <c r="J16" s="404">
        <f>IF(ISNUMBER(I16/B16),I16/B16," - ")</f>
        <v>469.5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149</v>
      </c>
      <c r="D17" s="404">
        <f>IF(ISNUMBER(C17/Datos!BH17),C17/Datos!BH17," - ")</f>
        <v>149</v>
      </c>
      <c r="E17" s="403">
        <f>IF(ISNUMBER(IF(D_I="SI",Datos!J17,Datos!J17+Datos!AD17)),IF(D_I="SI",Datos!J17,Datos!J17+Datos!AD17)," - ")</f>
        <v>162</v>
      </c>
      <c r="F17" s="404">
        <f>IF(ISNUMBER(E17/B17),E17/B17," - ")</f>
        <v>162</v>
      </c>
      <c r="G17" s="403">
        <f>IF(ISNUMBER(IF(D_I="SI",Datos!K17,Datos!K17+Datos!AE17)),IF(D_I="SI",Datos!K17,Datos!K17+Datos!AE17)," - ")</f>
        <v>125</v>
      </c>
      <c r="H17" s="404">
        <f>IF(ISNUMBER(G17/B17),G17/B17," - ")</f>
        <v>125</v>
      </c>
      <c r="I17" s="403">
        <f>IF(ISNUMBER(IF(D_I="SI",Datos!L17,Datos!L17+Datos!AF17)),IF(D_I="SI",Datos!L17,Datos!L17+Datos!AF17)," - ")</f>
        <v>118</v>
      </c>
      <c r="J17" s="404">
        <f>IF(ISNUMBER(I17/B17),I17/B17," - ")</f>
        <v>118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996</v>
      </c>
      <c r="D18" s="850" t="str">
        <f>IF(ISNUMBER(C18/Datos!BI18),C18/Datos!BI18," - ")</f>
        <v xml:space="preserve"> - </v>
      </c>
      <c r="E18" s="849">
        <f>SUBTOTAL(9,E14:E17)</f>
        <v>1229</v>
      </c>
      <c r="F18" s="850">
        <f>IF(ISNUMBER(E18/B18),E18/B18," - ")</f>
        <v>614.5</v>
      </c>
      <c r="G18" s="849">
        <f>SUBTOTAL(9,G14:G17)</f>
        <v>1048</v>
      </c>
      <c r="H18" s="850">
        <f>IF(ISNUMBER(G18/B18),G18/B18," - ")</f>
        <v>524</v>
      </c>
      <c r="I18" s="849">
        <f>SUBTOTAL(9,I14:I17)</f>
        <v>1057</v>
      </c>
      <c r="J18" s="850">
        <f>IF(ISNUMBER(I18/B18),I18/B18," - ")</f>
        <v>528.5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2225</v>
      </c>
      <c r="D19" s="795" t="str">
        <f>IF(ISNUMBER(C19/Datos!BI19),C19/Datos!BI19," - ")</f>
        <v xml:space="preserve"> - </v>
      </c>
      <c r="E19" s="794">
        <f>SUBTOTAL(9,E9:E18)</f>
        <v>3136</v>
      </c>
      <c r="F19" s="795">
        <f>IF(ISNUMBER(E19/B19),E19/B19," - ")</f>
        <v>1568</v>
      </c>
      <c r="G19" s="794">
        <f>SUBTOTAL(9,G9:G18)</f>
        <v>2211</v>
      </c>
      <c r="H19" s="795">
        <f>IF(ISNUMBER(G19/B19),G19/B19," - ")</f>
        <v>1105.5</v>
      </c>
      <c r="I19" s="794">
        <f>SUBTOTAL(9,I9:I18)</f>
        <v>2814</v>
      </c>
      <c r="J19" s="795">
        <f>IF(ISNUMBER(I19/B19),I19/B19," - ")</f>
        <v>1407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aqXbIwq/TfqcJjX4rlBgVTZTS+q2gng8g8ZoByjvvuMjjcNv22xdbr7iGX8PockqD8HiWm1DLFigmgQyEnJaiQ==" saltValue="eK+xbNR+bW0IojyI543Xq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MONFORTE DE LEMOS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267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1131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295</v>
      </c>
      <c r="AM12" s="690">
        <f>IF(ISNUMBER(Datos!N12+DatosP!N16),Datos!N12+DatosP!N16," - ")</f>
        <v>363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16.457437661220979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0.13897280966767372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0</v>
      </c>
      <c r="G13" s="938">
        <f t="shared" si="0"/>
        <v>3</v>
      </c>
      <c r="H13" s="938">
        <f t="shared" si="0"/>
        <v>0</v>
      </c>
      <c r="I13" s="940">
        <f t="shared" si="0"/>
        <v>0</v>
      </c>
      <c r="J13" s="939">
        <f t="shared" si="0"/>
        <v>0</v>
      </c>
      <c r="K13" s="939">
        <f t="shared" si="0"/>
        <v>0</v>
      </c>
      <c r="L13" s="941">
        <f t="shared" si="0"/>
        <v>0</v>
      </c>
      <c r="M13" s="941">
        <f t="shared" si="0"/>
        <v>0</v>
      </c>
      <c r="N13" s="939">
        <f t="shared" si="0"/>
        <v>267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129</v>
      </c>
      <c r="AE13" s="939">
        <f t="shared" si="1"/>
        <v>0</v>
      </c>
      <c r="AF13" s="939">
        <f t="shared" si="1"/>
        <v>17</v>
      </c>
      <c r="AG13" s="939">
        <f t="shared" si="1"/>
        <v>0</v>
      </c>
      <c r="AH13" s="939">
        <f t="shared" si="1"/>
        <v>1131</v>
      </c>
      <c r="AI13" s="939">
        <f t="shared" si="1"/>
        <v>0</v>
      </c>
      <c r="AJ13" s="939">
        <f t="shared" si="1"/>
        <v>0</v>
      </c>
      <c r="AK13" s="939">
        <f t="shared" si="1"/>
        <v>0</v>
      </c>
      <c r="AL13" s="939">
        <f t="shared" si="1"/>
        <v>295</v>
      </c>
      <c r="AM13" s="939">
        <f t="shared" si="1"/>
        <v>363</v>
      </c>
      <c r="AN13" s="939">
        <f t="shared" si="1"/>
        <v>0</v>
      </c>
      <c r="AO13" s="939">
        <f t="shared" si="1"/>
        <v>0</v>
      </c>
      <c r="AP13" s="944">
        <f>IF(ISNUMBER(((Datos!L13/Datos!K13)*11)/factor_trimestre),((Datos!L13/Datos!K13)*11)/factor_trimestre," - ")</f>
        <v>18.123595505617978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0.13897280966767372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11.094465648854962</v>
      </c>
      <c r="AQ18" s="944">
        <f>IF(ISNUMBER(((Datos!M18/Datos!L18)*11)/factor_trimestre),((Datos!M18/Datos!L18)*11)/factor_trimestre," - ")</f>
        <v>1.4881740775780512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0.20370370370370369</v>
      </c>
      <c r="AW18" s="946">
        <f>IF(ISNUMBER((Datos!Q18-Datos!R18)/(Datos!S18-Datos!Q18+Datos!R18)),(Datos!Q18-Datos!R18)/(Datos!S18-Datos!Q18+Datos!R18)," - ")</f>
        <v>-5.1921079958463137E-2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0</v>
      </c>
      <c r="G19" s="951">
        <f t="shared" si="4"/>
        <v>3</v>
      </c>
      <c r="H19" s="951">
        <f t="shared" si="4"/>
        <v>0</v>
      </c>
      <c r="I19" s="952">
        <f t="shared" si="4"/>
        <v>0</v>
      </c>
      <c r="J19" s="953">
        <f t="shared" si="4"/>
        <v>0</v>
      </c>
      <c r="K19" s="953">
        <f t="shared" si="4"/>
        <v>0</v>
      </c>
      <c r="L19" s="953">
        <f t="shared" si="4"/>
        <v>0</v>
      </c>
      <c r="M19" s="953">
        <f t="shared" si="4"/>
        <v>0</v>
      </c>
      <c r="N19" s="952">
        <f t="shared" si="4"/>
        <v>267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129</v>
      </c>
      <c r="AE19" s="957">
        <f t="shared" si="5"/>
        <v>0</v>
      </c>
      <c r="AF19" s="958">
        <f t="shared" si="5"/>
        <v>17</v>
      </c>
      <c r="AG19" s="958">
        <f t="shared" si="5"/>
        <v>0</v>
      </c>
      <c r="AH19" s="958">
        <f t="shared" si="5"/>
        <v>1131</v>
      </c>
      <c r="AI19" s="958">
        <f t="shared" si="5"/>
        <v>0</v>
      </c>
      <c r="AJ19" s="959">
        <f t="shared" si="5"/>
        <v>0</v>
      </c>
      <c r="AK19" s="959">
        <f t="shared" si="5"/>
        <v>0</v>
      </c>
      <c r="AL19" s="951">
        <f t="shared" si="5"/>
        <v>295</v>
      </c>
      <c r="AM19" s="951">
        <f t="shared" si="5"/>
        <v>363</v>
      </c>
      <c r="AN19" s="951">
        <f t="shared" si="5"/>
        <v>0</v>
      </c>
      <c r="AO19" s="951">
        <f t="shared" si="5"/>
        <v>0</v>
      </c>
      <c r="AP19" s="951">
        <f>IF(ISNUMBER(((Datos!L19/Datos!K19)*11)/factor_trimestre),((Datos!L19/Datos!K19)*11)/factor_trimestre," - ")</f>
        <v>14.489393191909226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0.14217557251908397</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170.31832941093958</v>
      </c>
      <c r="AM21" s="736"/>
      <c r="AN21" s="736">
        <f>IF(ISNUMBER(STDEV(AN8:AN18)),STDEV(AN8:AN18),"-")</f>
        <v>0</v>
      </c>
      <c r="AO21" s="742">
        <f>IF(ISNUMBER(STDEV(AO8:AO18)),STDEV(AO8:AO18),"-")</f>
        <v>0</v>
      </c>
      <c r="AP21" s="779">
        <f>IF(ISNUMBER(STDEV(AP8:AP18)),STDEV(AP8:AP18),"-")</f>
        <v>3.6730145954675111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DpRpH09bHkt5F9UlCC4qOp5YNrANHjJ7T6ArlQLLIiWJEXCQPJUSAnfbScx4HOKQ7CH0Nf1ySekVvf86GK//kA==" saltValue="Vl3DmkpvKSzgSwtWqvTW/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LUGO</v>
      </c>
      <c r="C3" s="415"/>
      <c r="F3" s="375"/>
      <c r="G3" s="375"/>
      <c r="H3" s="375"/>
    </row>
    <row r="4" spans="1:15" ht="13.5" thickBot="1">
      <c r="A4" s="375"/>
      <c r="B4" s="391" t="str">
        <f>Criterios!A11 &amp;"  "&amp;Criterios!B11</f>
        <v>Resumenes por Partidos Judiciales  MONFORTE DE LEMOS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4PwqHwbMBrkVTTNNBUqoCVjW8wtBwGL/UlSbJg9dUzD+hcAA26dw7P2sK7bGo8jogCOPAozLatT0gRsTf64Bmw==" saltValue="4gTKb8cV3JY5zovWIoQu1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MONFORTE DE LEMOS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295</v>
      </c>
      <c r="E12" s="404">
        <f t="shared" si="0"/>
        <v>147.5</v>
      </c>
      <c r="F12" s="403">
        <f>IF(ISNUMBER(Datos!N12),Datos!N12," - ")</f>
        <v>363</v>
      </c>
      <c r="G12" s="404">
        <f t="shared" si="1"/>
        <v>181.5</v>
      </c>
      <c r="H12" s="403">
        <f>IF(ISNUMBER(Datos!O12),Datos!O12," - ")</f>
        <v>502</v>
      </c>
      <c r="I12" s="404">
        <f t="shared" si="2"/>
        <v>251</v>
      </c>
      <c r="BZ12" s="1186">
        <f>Datos!EZ12</f>
        <v>0</v>
      </c>
    </row>
    <row r="13" spans="1:78" ht="14.25" thickTop="1" thickBot="1">
      <c r="A13" s="848" t="str">
        <f>Datos!A13</f>
        <v>TOTAL</v>
      </c>
      <c r="B13" s="849">
        <f>Datos!AP13</f>
        <v>2</v>
      </c>
      <c r="C13" s="851">
        <f>Datos!AR13</f>
        <v>2</v>
      </c>
      <c r="D13" s="849">
        <f>SUBTOTAL(9,D9:D12)</f>
        <v>295</v>
      </c>
      <c r="E13" s="850">
        <f t="shared" si="0"/>
        <v>147.5</v>
      </c>
      <c r="F13" s="849">
        <f>SUBTOTAL(9,F9:F12)</f>
        <v>363</v>
      </c>
      <c r="G13" s="850">
        <f t="shared" si="1"/>
        <v>181.5</v>
      </c>
      <c r="H13" s="849">
        <f>SUBTOTAL(9,H9:H12)</f>
        <v>502</v>
      </c>
      <c r="I13" s="850">
        <f>IF(ISNUMBER(H13/B13),H13/B13," - ")</f>
        <v>251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140</v>
      </c>
      <c r="E16" s="404">
        <f t="shared" si="3"/>
        <v>70</v>
      </c>
      <c r="F16" s="403">
        <f>IF(ISNUMBER(Datos!N16),Datos!N16," - ")</f>
        <v>511</v>
      </c>
      <c r="G16" s="404">
        <f t="shared" si="4"/>
        <v>255.5</v>
      </c>
      <c r="H16" s="403">
        <f>IF(ISNUMBER(Datos!O16),Datos!O16," - ")</f>
        <v>2</v>
      </c>
      <c r="I16" s="404">
        <f t="shared" si="5"/>
        <v>1</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101</v>
      </c>
      <c r="G17" s="404">
        <f>IF(ISNUMBER(F17/B17),F17/B17," - ")</f>
        <v>101</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143</v>
      </c>
      <c r="E18" s="850">
        <f t="shared" si="3"/>
        <v>71.5</v>
      </c>
      <c r="F18" s="849">
        <f>SUBTOTAL(9,F15:F17)</f>
        <v>612</v>
      </c>
      <c r="G18" s="850">
        <f t="shared" si="4"/>
        <v>306</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438</v>
      </c>
      <c r="E19" s="795">
        <f>IF(ISNUMBER(D19/B19),D19/B19," - ")</f>
        <v>219</v>
      </c>
      <c r="F19" s="794">
        <f>SUBTOTAL(9,F8:F18)</f>
        <v>975</v>
      </c>
      <c r="G19" s="795">
        <f>IF(ISNUMBER(F19/B19),F19/B19," - ")</f>
        <v>487.5</v>
      </c>
      <c r="H19" s="794">
        <f>SUBTOTAL(9,H8:H18)</f>
        <v>504</v>
      </c>
      <c r="I19" s="795">
        <f>IF(ISNUMBER(H19/B19),H19/B19," - ")</f>
        <v>252</v>
      </c>
    </row>
    <row r="22" spans="1:78">
      <c r="A22" s="391" t="str">
        <f>Criterios!A4</f>
        <v>Fecha Informe: 28 feb. 2025</v>
      </c>
    </row>
    <row r="27" spans="1:78">
      <c r="A27" s="414"/>
    </row>
  </sheetData>
  <sheetProtection algorithmName="SHA-512" hashValue="HV5XRontPJAT2cv0/aqrFPje6c0fkD6XcfOQtr1YsAxaHbd5qH0GXQHDzeBN7MUNm9bkOsfyABBX8Y0TSLX+ig==" saltValue="LmtFq8QkVuscqiX//QLuJ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MONFORTE DE LEMOS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267</v>
      </c>
      <c r="C12" s="434">
        <f>IF(ISNUMBER(Datos!Q12),Datos!Q12," - ")</f>
        <v>129</v>
      </c>
      <c r="D12" s="408">
        <f>IF(ISNUMBER(Datos!R12),Datos!R12," - ")</f>
        <v>1131</v>
      </c>
    </row>
    <row r="13" spans="1:4" ht="14.25" thickTop="1" thickBot="1">
      <c r="A13" s="848" t="str">
        <f>Datos!A13</f>
        <v>TOTAL</v>
      </c>
      <c r="B13" s="849">
        <f>SUBTOTAL(9,B9:B12)</f>
        <v>267</v>
      </c>
      <c r="C13" s="853">
        <f>SUBTOTAL(9,C9:C12)</f>
        <v>129</v>
      </c>
      <c r="D13" s="851">
        <f>SUBTOTAL(9,D9:D12)</f>
        <v>1132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26</v>
      </c>
      <c r="C16" s="434">
        <f>IF(ISNUMBER(Datos!Q16),Datos!Q16," - ")</f>
        <v>15</v>
      </c>
      <c r="D16" s="408">
        <f>IF(ISNUMBER(Datos!R16),Datos!R16," - ")</f>
        <v>64</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26</v>
      </c>
      <c r="C18" s="853">
        <f>SUBTOTAL(9,C15:C17)</f>
        <v>15</v>
      </c>
      <c r="D18" s="851">
        <f>SUBTOTAL(9,D15:D17)</f>
        <v>65</v>
      </c>
    </row>
    <row r="19" spans="1:4" ht="16.5" customHeight="1" thickTop="1" thickBot="1">
      <c r="A19" s="793" t="str">
        <f>Datos!A19</f>
        <v>TOTAL JURISDICCIONES</v>
      </c>
      <c r="B19" s="798">
        <f>SUBTOTAL(9,B8:B18)</f>
        <v>293</v>
      </c>
      <c r="C19" s="799">
        <f>SUBTOTAL(9,C8:C18)</f>
        <v>144</v>
      </c>
      <c r="D19" s="800">
        <f>SUBTOTAL(9,D8:D18)</f>
        <v>1197</v>
      </c>
    </row>
    <row r="20" spans="1:4" ht="7.5" customHeight="1"/>
    <row r="21" spans="1:4" ht="6" customHeight="1"/>
    <row r="22" spans="1:4">
      <c r="A22" s="391" t="str">
        <f>Criterios!A4</f>
        <v>Fecha Informe: 28 feb. 2025</v>
      </c>
    </row>
    <row r="27" spans="1:4">
      <c r="A27" s="414"/>
    </row>
  </sheetData>
  <sheetProtection algorithmName="SHA-512" hashValue="QYQz1Ivn0ZUkH9a+0p3lYehwZPgRClB2wRiuv4uSLA8CiiK2vTR9R2VHUTus5EP5trodE9h5t5yr6EJBUR3Rxw==" saltValue="V1sFvXmDyRiztxB7A/gax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MONFORTE DE LEMOS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-0.92307692307692313</v>
      </c>
      <c r="C10" s="456">
        <f>IF(ISNUMBER((Datos!J10-Datos!T10)/Datos!T10),(Datos!J10-Datos!T10)/Datos!T10," - ")</f>
        <v>-0.59523809523809523</v>
      </c>
      <c r="D10" s="456">
        <f>IF(ISNUMBER((Datos!K10-Datos!U10)/Datos!U10),(Datos!K10-Datos!U10)/Datos!U10," - ")</f>
        <v>-1</v>
      </c>
      <c r="E10" s="456">
        <f>IF(ISNUMBER((Datos!L10-Datos!V10)/Datos!V10),(Datos!L10-Datos!V10)/Datos!V10," - ")</f>
        <v>4.666666666666667</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0.17096466093600765</v>
      </c>
      <c r="C12" s="456">
        <f>IF(ISNUMBER(
   IF(J_V="SI",(Datos!J12-Datos!T12)/Datos!T12,(Datos!J12+Datos!Z12-(Datos!T12+Datos!AH12))/(Datos!T12+Datos!AH12))
     ),IF(J_V="SI",(Datos!J12-Datos!T12)/Datos!T12,(Datos!J12+Datos!Z12-(Datos!T12+Datos!AH12))/(Datos!T12+Datos!AH12))," - ")</f>
        <v>0.17464263517712866</v>
      </c>
      <c r="D12" s="456">
        <f>IF(ISNUMBER(
   IF(J_V="SI",(Datos!K12-Datos!U12)/Datos!U12,(Datos!K12+Datos!AA12-(Datos!U12+Datos!AI12))/(Datos!U12+Datos!AI12))
     ),IF(J_V="SI",(Datos!K12-Datos!U12)/Datos!U12,(Datos!K12+Datos!AA12-(Datos!U12+Datos!AI12))/(Datos!U12+Datos!AI12))," - ")</f>
        <v>-0.18784916201117319</v>
      </c>
      <c r="E12" s="456">
        <f>IF(ISNUMBER(
   IF(J_V="SI",(Datos!L12-Datos!V12)/Datos!V12,(Datos!L12+Datos!AB12-(Datos!V12+Datos!AJ12))/(Datos!V12+Datos!AJ12))
     ),IF(J_V="SI",(Datos!L12-Datos!V12)/Datos!V12,(Datos!L12+Datos!AB12-(Datos!V12+Datos!AJ12))/(Datos!V12+Datos!AJ12))," - ")</f>
        <v>0.4192495921696574</v>
      </c>
      <c r="F12" s="456">
        <f>IF(ISNUMBER((Datos!M12-Datos!W12)/Datos!W12),(Datos!M12-Datos!W12)/Datos!W12," - ")</f>
        <v>-9.5092024539877307E-2</v>
      </c>
      <c r="G12" s="457">
        <f>IF(ISNUMBER((Datos!N12-Datos!X12)/Datos!X12),(Datos!N12-Datos!X12)/Datos!X12," - ")</f>
        <v>-0.17499999999999999</v>
      </c>
      <c r="H12" s="455">
        <f>IF(ISNUMBER(((NºAsuntos!G12/NºAsuntos!E12)-Datos!BD12)/Datos!BD12),((NºAsuntos!G12/NºAsuntos!E12)-Datos!BD12)/Datos!BD12," - ")</f>
        <v>-0.30859751411427394</v>
      </c>
      <c r="I12" s="456">
        <f>IF(ISNUMBER(((NºAsuntos!I12/NºAsuntos!G12)-Datos!BE12)/Datos!BE12),((NºAsuntos!I12/NºAsuntos!G12)-Datos!BE12)/Datos!BE12," - ")</f>
        <v>0.74751970420202007</v>
      </c>
      <c r="J12" s="461">
        <f>IF(ISNUMBER((('Resol  Asuntos'!D12/NºAsuntos!G12)-Datos!BF12)/Datos!BF12),(('Resol  Asuntos'!D12/NºAsuntos!G12)-Datos!BF12)/Datos!BF12," - ")</f>
        <v>-0.17447041350738696</v>
      </c>
      <c r="K12" s="462">
        <f>IF(ISNUMBER((((NºAsuntos!C12+NºAsuntos!E12)/NºAsuntos!G12)-Datos!BG12)/Datos!BG12),(((NºAsuntos!C12+NºAsuntos!E12)/NºAsuntos!G12)-Datos!BG12)/Datos!BG12," - ")</f>
        <v>0.44455034238415392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0.13167587476979742</v>
      </c>
      <c r="C13" s="855">
        <f>IF(ISNUMBER(
   IF(J_V="SI",(Datos!J13-Datos!T13)/Datos!T13,(Datos!J13+Datos!Z13-(Datos!T13+Datos!AH13))/(Datos!T13+Datos!AH13))
     ),IF(J_V="SI",(Datos!J13-Datos!T13)/Datos!T13,(Datos!J13+Datos!Z13-(Datos!T13+Datos!AH13))/(Datos!T13+Datos!AH13))," - ")</f>
        <v>0.15505754088431253</v>
      </c>
      <c r="D13" s="855">
        <f>IF(ISNUMBER(
   IF(J_V="SI",(Datos!K13-Datos!U13)/Datos!U13,(Datos!K13+Datos!AA13-(Datos!U13+Datos!AI13))/(Datos!U13+Datos!AI13))
     ),IF(J_V="SI",(Datos!K13-Datos!U13)/Datos!U13,(Datos!K13+Datos!AA13-(Datos!U13+Datos!AI13))/(Datos!U13+Datos!AI13))," - ")</f>
        <v>-0.20068728522336771</v>
      </c>
      <c r="E13" s="855">
        <f>IF(ISNUMBER(
   IF(J_V="SI",(Datos!L13-Datos!V13)/Datos!V13,(Datos!L13+Datos!AB13-(Datos!V13+Datos!AJ13))/(Datos!V13+Datos!AJ13))
     ),IF(J_V="SI",(Datos!L13-Datos!V13)/Datos!V13,(Datos!L13+Datos!AB13-(Datos!V13+Datos!AJ13))/(Datos!V13+Datos!AJ13))," - ")</f>
        <v>0.42961757526444266</v>
      </c>
      <c r="F13" s="856">
        <f>IF(ISNUMBER((Datos!M13-Datos!W13)/Datos!W13),(Datos!M13-Datos!W13)/Datos!W13," - ")</f>
        <v>-9.5092024539877307E-2</v>
      </c>
      <c r="G13" s="857">
        <f>IF(ISNUMBER((Datos!N13-Datos!X13)/Datos!X13),(Datos!N13-Datos!X13)/Datos!X13," - ")</f>
        <v>-0.17499999999999999</v>
      </c>
      <c r="H13" s="857">
        <f>IF(ISNUMBER(((NºAsuntos!G13/NºAsuntos!E13)-Datos!BD13)/Datos!BD13),((NºAsuntos!G13/NºAsuntos!E13)-Datos!BD13)/Datos!BD13," - ")</f>
        <v>-0.30798883476863137</v>
      </c>
      <c r="I13" s="857">
        <f>IF(ISNUMBER(((NºAsuntos!I13/NºAsuntos!G13)-Datos!BE13)/Datos!BE13),((NºAsuntos!I13/NºAsuntos!G13)-Datos!BE13)/Datos!BE13," - ")</f>
        <v>0.78855853139274634</v>
      </c>
      <c r="J13" s="857">
        <f>IF(ISNUMBER((('Resol  Asuntos'!D13/NºAsuntos!G13)-Datos!BF13)/Datos!BF13),(('Resol  Asuntos'!D13/NºAsuntos!G13)-Datos!BF13)/Datos!BF13," - ")</f>
        <v>-0.16121120925506138</v>
      </c>
      <c r="K13" s="857">
        <f>IF(ISNUMBER((((NºAsuntos!C13+NºAsuntos!E13)/NºAsuntos!G13)-Datos!BG13)/Datos!BG13),(((NºAsuntos!C13+NºAsuntos!E13)/NºAsuntos!G13)-Datos!BG13)/Datos!BG13," - ")</f>
        <v>0.43345655582506648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6.407035175879397E-2</v>
      </c>
      <c r="C16" s="456">
        <f>IF(ISNUMBER(
   IF(D_I="SI",(Datos!J16-Datos!T16)/Datos!T16,(Datos!J16+Datos!AD16-(Datos!T16+Datos!AL16))/(Datos!T16+Datos!AL16))
     ),IF(D_I="SI",(Datos!J16-Datos!T16)/Datos!T16,(Datos!J16+Datos!AD16-(Datos!T16+Datos!AL16))/(Datos!T16+Datos!AL16))," - ")</f>
        <v>6.9138276553106212E-2</v>
      </c>
      <c r="D16" s="456">
        <f>IF(ISNUMBER(
   IF(D_I="SI",(Datos!K16-Datos!U16)/Datos!U16,(Datos!K16+Datos!AE16-(Datos!U16+Datos!AM16))/(Datos!U16+Datos!AM16))
     ),IF(D_I="SI",(Datos!K16-Datos!U16)/Datos!U16,(Datos!K16+Datos!AE16-(Datos!U16+Datos!AM16))/(Datos!U16+Datos!AM16))," - ")</f>
        <v>-2.5343189017951427E-2</v>
      </c>
      <c r="E16" s="456">
        <f>IF(ISNUMBER(
   IF(D_I="SI",(Datos!L16-Datos!V16)/Datos!V16,(Datos!L16+Datos!AF16-(Datos!V16+Datos!AN16))/(Datos!V16+Datos!AN16))
     ),IF(D_I="SI",(Datos!L16-Datos!V16)/Datos!V16,(Datos!L16+Datos!AF16-(Datos!V16+Datos!AN16))/(Datos!V16+Datos!AN16))," - ")</f>
        <v>0.10861865407319952</v>
      </c>
      <c r="F16" s="456">
        <f>IF(ISNUMBER((Datos!M16-Datos!W16)/Datos!W16),(Datos!M16-Datos!W16)/Datos!W16," - ")</f>
        <v>0.19658119658119658</v>
      </c>
      <c r="G16" s="457">
        <f>IF(ISNUMBER((Datos!N16-Datos!X16)/Datos!X16),(Datos!N16-Datos!X16)/Datos!X16," - ")</f>
        <v>-0.14261744966442952</v>
      </c>
      <c r="H16" s="455">
        <f>IF(ISNUMBER(((NºAsuntos!G16/NºAsuntos!E16)-Datos!BD16)/Datos!BD16),((NºAsuntos!G16/NºAsuntos!E16)-Datos!BD16)/Datos!BD16," - ")</f>
        <v>-8.8371605098327533E-2</v>
      </c>
      <c r="I16" s="456">
        <f>IF(ISNUMBER(((NºAsuntos!I16/NºAsuntos!G16)-Datos!BE16)/Datos!BE16),((NºAsuntos!I16/NºAsuntos!G16)-Datos!BE16)/Datos!BE16," - ")</f>
        <v>0.13744514128637034</v>
      </c>
      <c r="J16" s="461">
        <f>IF(ISNUMBER((('Resol  Asuntos'!D16/NºAsuntos!G16)-Datos!BF16)/Datos!BF16),(('Resol  Asuntos'!D16/NºAsuntos!G16)-Datos!BF16)/Datos!BF16," - ")</f>
        <v>0.22769490050096761</v>
      </c>
      <c r="K16" s="462">
        <f>IF(ISNUMBER((((NºAsuntos!C16+NºAsuntos!E16)/NºAsuntos!G16)-Datos!BG16)/Datos!BG16),(((NºAsuntos!C16+NºAsuntos!E16)/NºAsuntos!G16)-Datos!BG16)/Datos!BG16," - ")</f>
        <v>9.4631074328657847E-2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0.27350427350427353</v>
      </c>
      <c r="C17" s="456">
        <f>IF(ISNUMBER(
   IF(D_I="SI",(Datos!J17-Datos!T17)/Datos!T17,(Datos!J17+Datos!AD17-(Datos!T17+Datos!AL17))/(Datos!T17+Datos!AL17))
     ),IF(D_I="SI",(Datos!J17-Datos!T17)/Datos!T17,(Datos!J17+Datos!AD17-(Datos!T17+Datos!AL17))/(Datos!T17+Datos!AL17))," - ")</f>
        <v>0.33884297520661155</v>
      </c>
      <c r="D17" s="456">
        <f>IF(ISNUMBER(
   IF(D_I="SI",(Datos!K17-Datos!U17)/Datos!U17,(Datos!K17+Datos!AE17-(Datos!U17+Datos!AM17))/(Datos!U17+Datos!AM17))
     ),IF(D_I="SI",(Datos!K17-Datos!U17)/Datos!U17,(Datos!K17+Datos!AE17-(Datos!U17+Datos!AM17))/(Datos!U17+Datos!AM17))," - ")</f>
        <v>0.4044943820224719</v>
      </c>
      <c r="E17" s="456">
        <f>IF(ISNUMBER(
   IF(D_I="SI",(Datos!L17-Datos!V17)/Datos!V17,(Datos!L17+Datos!AF17-(Datos!V17+Datos!AN17))/(Datos!V17+Datos!AN17))
     ),IF(D_I="SI",(Datos!L17-Datos!V17)/Datos!V17,(Datos!L17+Datos!AF17-(Datos!V17+Datos!AN17))/(Datos!V17+Datos!AN17))," - ")</f>
        <v>-0.20805369127516779</v>
      </c>
      <c r="F17" s="456">
        <f>IF(ISNUMBER((Datos!M17-Datos!W17)/Datos!W17),(Datos!M17-Datos!W17)/Datos!W17," - ")</f>
        <v>2</v>
      </c>
      <c r="G17" s="457">
        <f>IF(ISNUMBER((Datos!N17-Datos!X17)/Datos!X17),(Datos!N17-Datos!X17)/Datos!X17," - ")</f>
        <v>0.5074626865671642</v>
      </c>
      <c r="H17" s="455">
        <f>IF(ISNUMBER(((NºAsuntos!G17/NºAsuntos!E17)-Datos!BD17)/Datos!BD17),((NºAsuntos!G17/NºAsuntos!E17)-Datos!BD17)/Datos!BD17," - ")</f>
        <v>4.903592731308086E-2</v>
      </c>
      <c r="I17" s="456">
        <f>IF(ISNUMBER(((NºAsuntos!I17/NºAsuntos!G17)-Datos!BE17)/Datos!BE17),((NºAsuntos!I17/NºAsuntos!G17)-Datos!BE17)/Datos!BE17," - ")</f>
        <v>-0.43613422818791953</v>
      </c>
      <c r="J17" s="461">
        <f>IF(ISNUMBER((('Resol  Asuntos'!D17/NºAsuntos!G17)-Datos!BF17)/Datos!BF17),(('Resol  Asuntos'!D17/NºAsuntos!G17)-Datos!BF17)/Datos!BF17," - ")</f>
        <v>1.1360000000000001</v>
      </c>
      <c r="K17" s="462">
        <f>IF(ISNUMBER((((NºAsuntos!C17+NºAsuntos!E17)/NºAsuntos!G17)-Datos!BG17)/Datos!BG17),(((NºAsuntos!C17+NºAsuntos!E17)/NºAsuntos!G17)-Datos!BG17)/Datos!BG17," - ")</f>
        <v>-6.9613445378151215E-2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9.0909090909090912E-2</v>
      </c>
      <c r="C18" s="855">
        <f>IF(ISNUMBER(
   IF(Criterios!B14="SI",(Datos!J18-Datos!T18)/Datos!T18,(Datos!J18+Datos!AD18-(Datos!T18+Datos!AL18))/(Datos!T18+Datos!AL18))
     ),IF(Criterios!B14="SI",(Datos!J18-Datos!T18)/Datos!T18,(Datos!J18+Datos!AD18-(Datos!T18+Datos!AL18))/(Datos!T18+Datos!AL18))," - ")</f>
        <v>9.8302055406613048E-2</v>
      </c>
      <c r="D18" s="855">
        <f>IF(ISNUMBER(
   IF(Criterios!B14="SI",(Datos!K18-Datos!U18)/Datos!U18,(Datos!K18+Datos!AE18-(Datos!U18+Datos!AM18))/(Datos!U18+Datos!AM18))
     ),IF(Criterios!B14="SI",(Datos!K18-Datos!U18)/Datos!U18,(Datos!K18+Datos!AE18-(Datos!U18+Datos!AM18))/(Datos!U18+Datos!AM18))," - ")</f>
        <v>1.1583011583011582E-2</v>
      </c>
      <c r="E18" s="855">
        <f>IF(ISNUMBER(
   IF(Criterios!B14="SI",(Datos!L18-Datos!V18)/Datos!V18,(Datos!L18+Datos!AF18-(Datos!V18+Datos!AN18))/(Datos!V18+Datos!AN18))
     ),IF(Criterios!B14="SI",(Datos!L18-Datos!V18)/Datos!V18,(Datos!L18+Datos!AF18-(Datos!V18+Datos!AN18))/(Datos!V18+Datos!AN18))," - ")</f>
        <v>6.1244979919678713E-2</v>
      </c>
      <c r="F18" s="856">
        <f>IF(ISNUMBER((Datos!M18-Datos!W18)/Datos!W18),(Datos!M18-Datos!W18)/Datos!W18," - ")</f>
        <v>0.21186440677966101</v>
      </c>
      <c r="G18" s="857">
        <f>IF(ISNUMBER((Datos!N18-Datos!X18)/Datos!X18),(Datos!N18-Datos!X18)/Datos!X18," - ")</f>
        <v>-7.6923076923076927E-2</v>
      </c>
      <c r="H18" s="857">
        <f>IF(ISNUMBER(((NºAsuntos!G18/NºAsuntos!E18)-Datos!BD18)/Datos!BD18),((NºAsuntos!G18/NºAsuntos!E18)-Datos!BD18)/Datos!BD18," - ")</f>
        <v>-7.8957371878445898E-2</v>
      </c>
      <c r="I18" s="857">
        <f>IF(ISNUMBER(((NºAsuntos!I18/NºAsuntos!G18)-Datos!BE18)/Datos!BE18),((NºAsuntos!I18/NºAsuntos!G18)-Datos!BE18)/Datos!BE18," - ")</f>
        <v>4.9093319844262642E-2</v>
      </c>
      <c r="J18" s="857">
        <f>IF(ISNUMBER((('Resol  Asuntos'!D18/NºAsuntos!G18)-Datos!BF18)/Datos!BF18),(('Resol  Asuntos'!D18/NºAsuntos!G18)-Datos!BF18)/Datos!BF18," - ")</f>
        <v>0.19798809677836718</v>
      </c>
      <c r="K18" s="857">
        <f>IF(ISNUMBER((((NºAsuntos!C18+NºAsuntos!E18)/NºAsuntos!G18)-Datos!BG18)/Datos!BG18),(((NºAsuntos!C18+NºAsuntos!E18)/NºAsuntos!G18)-Datos!BG18)/Datos!BG18," - ")</f>
        <v>8.2442372422912816E-2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0.11305652826413207</v>
      </c>
      <c r="C19" s="802">
        <f>IF(ISNUMBER(
   IF(J_V="SI",(Datos!J19-Datos!T19)/Datos!T19,(Datos!J19+Datos!Z19-(Datos!T19+Datos!AH19))/(Datos!T19+Datos!AH19))
     ),IF(J_V="SI",(Datos!J19-Datos!T19)/Datos!T19,(Datos!J19+Datos!Z19-(Datos!T19+Datos!AH19))/(Datos!T19+Datos!AH19))," - ")</f>
        <v>0.13212996389891696</v>
      </c>
      <c r="D19" s="802">
        <f>IF(ISNUMBER(
   IF(J_V="SI",(Datos!K19-Datos!U19)/Datos!U19,(Datos!K19+Datos!AA19-(Datos!U19+Datos!AI19))/(Datos!U19+Datos!AI19))
     ),IF(J_V="SI",(Datos!K19-Datos!U19)/Datos!U19,(Datos!K19+Datos!AA19-(Datos!U19+Datos!AI19))/(Datos!U19+Datos!AI19))," - ")</f>
        <v>-0.11240465676435167</v>
      </c>
      <c r="E19" s="802">
        <f>IF(ISNUMBER(
   IF(J_V="SI",(Datos!L19-Datos!V19)/Datos!V19,(Datos!L19+Datos!AB19-(Datos!V19+Datos!AJ19))/(Datos!V19+Datos!AJ19))
     ),IF(J_V="SI",(Datos!L19-Datos!V19)/Datos!V19,(Datos!L19+Datos!AB19-(Datos!V19+Datos!AJ19))/(Datos!V19+Datos!AJ19))," - ")</f>
        <v>0.26471910112359548</v>
      </c>
      <c r="F19" s="803">
        <f>IF(ISNUMBER((Datos!M19-Datos!W19)/Datos!W19),(Datos!M19-Datos!W19)/Datos!W19," - ")</f>
        <v>-1.3513513513513514E-2</v>
      </c>
      <c r="G19" s="804">
        <f>IF(ISNUMBER((Datos!N19-Datos!X19)/Datos!X19),(Datos!N19-Datos!X19)/Datos!X19," - ")</f>
        <v>-0.11604714415231188</v>
      </c>
      <c r="H19" s="805">
        <f>IF(ISNUMBER((Tasas!B19-Datos!BD19)/Datos!BD19),(Tasas!B19-Datos!BD19)/Datos!BD19," - ")</f>
        <v>-0.21599518470575704</v>
      </c>
      <c r="I19" s="806">
        <f>IF(ISNUMBER((Tasas!C19-Datos!BE19)/Datos!BE19),(Tasas!C19-Datos!BE19)/Datos!BE19," - ")</f>
        <v>0.42488253319713992</v>
      </c>
      <c r="J19" s="807">
        <f>IF(ISNUMBER((Tasas!D19-Datos!BF19)/Datos!BF19),(Tasas!D19-Datos!BF19)/Datos!BF19," - ")</f>
        <v>-0.11564854126240746</v>
      </c>
      <c r="K19" s="807">
        <f>IF(ISNUMBER((Tasas!E19-Datos!BG19)/Datos!BG19),(Tasas!E19-Datos!BG19)/Datos!BG19," - ")</f>
        <v>0.26649497133937999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7yb9K7I5tMDudm4eAMTqjWPE+xFyAW51QNIAyaIablSkl4l6S/A/CI0PDEUU7shDRxriXDTf4ThMf/Z2xwDZxg==" saltValue="mbdXKup5FeuQ6AczfwoE5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MONFORTE DE LEMOS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0.6153439153439153</v>
      </c>
      <c r="C12" s="443">
        <f>IF(ISNUMBER(NºAsuntos!I12/NºAsuntos!G12),NºAsuntos!I12/NºAsuntos!G12," - ")</f>
        <v>1.4961306964746346</v>
      </c>
      <c r="D12" s="444">
        <f>IF(ISNUMBER('Resol  Asuntos'!D12/NºAsuntos!G12),'Resol  Asuntos'!D12/NºAsuntos!G12," - ")</f>
        <v>0.25365434221840066</v>
      </c>
      <c r="E12" s="445">
        <f>IF(ISNUMBER((NºAsuntos!C12+NºAsuntos!E12)/NºAsuntos!G12),(NºAsuntos!C12+NºAsuntos!E12)/NºAsuntos!G12," - ")</f>
        <v>2.6792777300085984</v>
      </c>
      <c r="G12" s="463"/>
    </row>
    <row r="13" spans="1:7" ht="14.25" thickTop="1" thickBot="1">
      <c r="A13" s="848" t="str">
        <f>Datos!A13</f>
        <v>TOTAL</v>
      </c>
      <c r="B13" s="858">
        <f>IF(ISNUMBER(NºAsuntos!G13/NºAsuntos!E13),NºAsuntos!G13/NºAsuntos!E13," - ")</f>
        <v>0.60985841636077609</v>
      </c>
      <c r="C13" s="859">
        <f>IF(ISNUMBER(NºAsuntos!I13/NºAsuntos!G13),NºAsuntos!I13/NºAsuntos!G13," - ")</f>
        <v>1.5107480653482372</v>
      </c>
      <c r="D13" s="860">
        <f>IF(ISNUMBER('Resol  Asuntos'!D13/NºAsuntos!G13),'Resol  Asuntos'!D13/NºAsuntos!G13," - ")</f>
        <v>0.25365434221840066</v>
      </c>
      <c r="E13" s="861">
        <f>IF(ISNUMBER((NºAsuntos!C13+NºAsuntos!E13)/NºAsuntos!G13),(NºAsuntos!C13+NºAsuntos!E13)/NºAsuntos!G13," - ")</f>
        <v>2.696474634565778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0.86504217432052488</v>
      </c>
      <c r="C16" s="443">
        <f>IF(ISNUMBER(NºAsuntos!I16/NºAsuntos!G16),NºAsuntos!I16/NºAsuntos!G16," - ")</f>
        <v>1.0173347778981581</v>
      </c>
      <c r="D16" s="444">
        <f>IF(ISNUMBER('Resol  Asuntos'!D16/NºAsuntos!G16),'Resol  Asuntos'!D16/NºAsuntos!G16," - ")</f>
        <v>0.15167930660888407</v>
      </c>
      <c r="E16" s="445">
        <f>IF(ISNUMBER((NºAsuntos!C16+NºAsuntos!E16)/NºAsuntos!G16),(NºAsuntos!C16+NºAsuntos!E16)/NºAsuntos!G16," - ")</f>
        <v>2.0736728060671723</v>
      </c>
      <c r="G16" s="463"/>
    </row>
    <row r="17" spans="1:7" ht="13.5" thickBot="1">
      <c r="A17" s="402" t="str">
        <f>Datos!A17</f>
        <v>Jdos. Violencia contra la mujer</v>
      </c>
      <c r="B17" s="442">
        <f>IF(ISNUMBER(NºAsuntos!G17/NºAsuntos!E17),NºAsuntos!G17/NºAsuntos!E17," - ")</f>
        <v>0.77160493827160492</v>
      </c>
      <c r="C17" s="443">
        <f>IF(ISNUMBER(NºAsuntos!I17/NºAsuntos!G17),NºAsuntos!I17/NºAsuntos!G17," - ")</f>
        <v>0.94399999999999995</v>
      </c>
      <c r="D17" s="444">
        <f>IF(ISNUMBER('Resol  Asuntos'!D17/NºAsuntos!G17),'Resol  Asuntos'!D17/NºAsuntos!G17," - ")</f>
        <v>2.4E-2</v>
      </c>
      <c r="E17" s="445">
        <f>IF(ISNUMBER((NºAsuntos!C17+NºAsuntos!E17)/NºAsuntos!G17),(NºAsuntos!C17+NºAsuntos!E17)/NºAsuntos!G17," - ")</f>
        <v>2.488</v>
      </c>
      <c r="G17" s="463"/>
    </row>
    <row r="18" spans="1:7" ht="14.25" thickTop="1" thickBot="1">
      <c r="A18" s="848" t="str">
        <f>Datos!A18</f>
        <v>TOTAL</v>
      </c>
      <c r="B18" s="858">
        <f>IF(ISNUMBER(NºAsuntos!G18/NºAsuntos!E18),NºAsuntos!G18/NºAsuntos!E18," - ")</f>
        <v>0.85272579332790888</v>
      </c>
      <c r="C18" s="859">
        <f>IF(ISNUMBER(NºAsuntos!I18/NºAsuntos!G18),NºAsuntos!I18/NºAsuntos!G18," - ")</f>
        <v>1.008587786259542</v>
      </c>
      <c r="D18" s="862">
        <f>IF(ISNUMBER('Resol  Asuntos'!D18/NºAsuntos!G18),'Resol  Asuntos'!D18/NºAsuntos!G18," - ")</f>
        <v>0.1364503816793893</v>
      </c>
      <c r="E18" s="861">
        <f>IF(ISNUMBER((NºAsuntos!C18+NºAsuntos!E18)/NºAsuntos!G18),(NºAsuntos!C18+NºAsuntos!E18)/NºAsuntos!G18," - ")</f>
        <v>2.1230916030534353</v>
      </c>
      <c r="G18" s="463"/>
    </row>
    <row r="19" spans="1:7" ht="15.75" customHeight="1" thickTop="1" thickBot="1">
      <c r="A19" s="793" t="str">
        <f>Datos!A19</f>
        <v>TOTAL JURISDICCIONES</v>
      </c>
      <c r="B19" s="808">
        <f>IF(ISNUMBER(NºAsuntos!G19/NºAsuntos!E19),NºAsuntos!G19/NºAsuntos!E19," - ")</f>
        <v>0.70503826530612246</v>
      </c>
      <c r="C19" s="809">
        <f>IF(ISNUMBER(NºAsuntos!I19/NºAsuntos!G19),NºAsuntos!I19/NºAsuntos!G19," - ")</f>
        <v>1.2727272727272727</v>
      </c>
      <c r="D19" s="810">
        <f>IF(ISNUMBER('Resol  Asuntos'!D19/NºAsuntos!G19),'Resol  Asuntos'!D19/NºAsuntos!G19," - ")</f>
        <v>0.19810040705563092</v>
      </c>
      <c r="E19" s="811">
        <f>IF(ISNUMBER((NºAsuntos!C19+NºAsuntos!E19)/NºAsuntos!G19),(NºAsuntos!C19+NºAsuntos!E19)/NºAsuntos!G19," - ")</f>
        <v>2.4246947082767978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9aBF2/3UY+oyMnPBt81aFWFtkYXURa+7lObdmrEwiyBfbq/azaDGwTlJUPHwutzrylEEKnHxPEJn/lint5T/1Q==" saltValue="F2VGh5v0qE70fpHEGi0rd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MONFORTE DE LEMOS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17</v>
      </c>
      <c r="AB10" s="334">
        <f>IF(ISNUMBER(Datos!R10),Datos!R10," - ")</f>
        <v>1</v>
      </c>
      <c r="AC10" s="334">
        <f t="shared" ref="AC10:AC12" si="1">IF(ISNUMBER(AA10+AB10),AA10+AB10," - ")</f>
        <v>18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267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129</v>
      </c>
      <c r="Y12" s="334">
        <f t="shared" si="0"/>
        <v>129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1131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295</v>
      </c>
      <c r="AJ12" s="229" t="str">
        <f>IF(ISNUMBER(Datos!BW12),Datos!BW12," - ")</f>
        <v xml:space="preserve"> - </v>
      </c>
      <c r="AK12" s="228" t="str">
        <f>IF(ISNUMBER(Datos!BX12),Datos!BX12," - ")</f>
        <v xml:space="preserve"> - </v>
      </c>
      <c r="AL12" s="243">
        <f>IF(ISNUMBER(NºAsuntos!G12/NºAsuntos!E12),NºAsuntos!G12/NºAsuntos!E12," - ")</f>
        <v>0.6153439153439153</v>
      </c>
      <c r="AM12" s="260">
        <f>IF(ISNUMBER(((NºAsuntos!I12/NºAsuntos!G12)*11)/factor_trimestre),((NºAsuntos!I12/NºAsuntos!G12)*11)/factor_trimestre," - ")</f>
        <v>16.457437661220979</v>
      </c>
      <c r="AN12" s="244">
        <f>IF(ISNUMBER('Resol  Asuntos'!D12/NºAsuntos!G12),'Resol  Asuntos'!D12/NºAsuntos!G12," - ")</f>
        <v>0.25365434221840066</v>
      </c>
      <c r="AO12" s="245">
        <f>IF(ISNUMBER((NºAsuntos!C12+NºAsuntos!E12)/NºAsuntos!G12),(NºAsuntos!C12+NºAsuntos!E12)/NºAsuntos!G12," - ")</f>
        <v>2.6792777300085984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0</v>
      </c>
      <c r="G13" s="866">
        <f t="shared" si="3"/>
        <v>3</v>
      </c>
      <c r="H13" s="865">
        <f t="shared" si="3"/>
        <v>0</v>
      </c>
      <c r="I13" s="867">
        <f t="shared" si="3"/>
        <v>0</v>
      </c>
      <c r="J13" s="867">
        <f t="shared" si="3"/>
        <v>0</v>
      </c>
      <c r="K13" s="867">
        <f t="shared" si="3"/>
        <v>0</v>
      </c>
      <c r="L13" s="867">
        <f t="shared" si="3"/>
        <v>267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129</v>
      </c>
      <c r="Y13" s="868">
        <f t="shared" si="4"/>
        <v>129</v>
      </c>
      <c r="Z13" s="868">
        <f t="shared" si="4"/>
        <v>0</v>
      </c>
      <c r="AA13" s="868">
        <f t="shared" si="4"/>
        <v>17</v>
      </c>
      <c r="AB13" s="868">
        <f t="shared" si="4"/>
        <v>1132</v>
      </c>
      <c r="AC13" s="868">
        <f t="shared" si="4"/>
        <v>18</v>
      </c>
      <c r="AD13" s="868">
        <f t="shared" si="4"/>
        <v>0</v>
      </c>
      <c r="AE13" s="872">
        <f t="shared" si="4"/>
        <v>0</v>
      </c>
      <c r="AF13" s="865">
        <f t="shared" si="4"/>
        <v>0</v>
      </c>
      <c r="AG13" s="873">
        <f t="shared" si="4"/>
        <v>0</v>
      </c>
      <c r="AH13" s="870">
        <f t="shared" si="4"/>
        <v>0</v>
      </c>
      <c r="AI13" s="865">
        <f t="shared" si="4"/>
        <v>295</v>
      </c>
      <c r="AJ13" s="867">
        <f t="shared" si="4"/>
        <v>0</v>
      </c>
      <c r="AK13" s="870">
        <f>SUBTOTAL(9,AK9:AK12)</f>
        <v>0</v>
      </c>
      <c r="AL13" s="874">
        <f>IF(ISNUMBER(NºAsuntos!G13/NºAsuntos!E13),NºAsuntos!G13/NºAsuntos!E13," - ")</f>
        <v>0.60985841636077609</v>
      </c>
      <c r="AM13" s="874">
        <f>IF(ISNUMBER(((NºAsuntos!I13/NºAsuntos!G13)*11)/factor_trimestre),((NºAsuntos!I13/NºAsuntos!G13)*11)/factor_trimestre," - ")</f>
        <v>16.618228718830611</v>
      </c>
      <c r="AN13" s="875">
        <f>IF(ISNUMBER('Resol  Asuntos'!D13/NºAsuntos!G13),'Resol  Asuntos'!D13/NºAsuntos!G13," - ")</f>
        <v>0.25365434221840066</v>
      </c>
      <c r="AO13" s="876">
        <f>IF(ISNUMBER((NºAsuntos!C13+NºAsuntos!E13)/NºAsuntos!G13),(NºAsuntos!C13+NºAsuntos!E13)/NºAsuntos!G13," - ")</f>
        <v>2.696474634565778</v>
      </c>
      <c r="AP13" s="877" t="str">
        <f t="shared" si="2"/>
        <v xml:space="preserve"> - </v>
      </c>
      <c r="AQ13" s="877" t="str">
        <f>IF(ISNUMBER((H13-W13+K13)/(F13)),(H13-W13+K13)/(F13)," - ")</f>
        <v xml:space="preserve"> - </v>
      </c>
      <c r="AR13" s="878">
        <f>IF(ISNUMBER((Datos!P13-Datos!Q13)/(Datos!R13-Datos!P13+Datos!Q13)),(Datos!P13-Datos!Q13)/(Datos!R13-Datos!P13+Datos!Q13)," - ")</f>
        <v>0.13883299798792756</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795</v>
      </c>
      <c r="G16" s="333">
        <f>IF(ISNUMBER(IF(D_I="SI",Datos!I16,Datos!I16+Datos!AC16)),IF(D_I="SI",Datos!I16,Datos!I16+Datos!AC16)," - ")</f>
        <v>847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923</v>
      </c>
      <c r="X16" s="226">
        <f>IF(ISNUMBER(Datos!Q16),Datos!Q16," - ")</f>
        <v>15</v>
      </c>
      <c r="Y16" s="334">
        <f t="shared" ref="Y16:Y17" si="7">SUM(W16:X16)</f>
        <v>938</v>
      </c>
      <c r="Z16" s="335" t="str">
        <f>IF(ISNUMBER(Datos!CC16),Datos!CC16," - ")</f>
        <v xml:space="preserve"> - </v>
      </c>
      <c r="AA16" s="332">
        <f>IF(ISNUMBER(IF(D_I="SI",Datos!L16,Datos!L16+Datos!AF16)),IF(D_I="SI",Datos!L16,Datos!L16+Datos!AF16)," - ")</f>
        <v>939</v>
      </c>
      <c r="AB16" s="334">
        <f>IF(ISNUMBER(Datos!R16),Datos!R16," - ")</f>
        <v>64</v>
      </c>
      <c r="AC16" s="334">
        <f t="shared" si="6"/>
        <v>1003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140</v>
      </c>
      <c r="AJ16" s="231" t="str">
        <f>IF(ISNUMBER(Datos!BW16),Datos!BW16," - ")</f>
        <v xml:space="preserve"> - </v>
      </c>
      <c r="AK16" s="232" t="str">
        <f>IF(ISNUMBER(Datos!BX16),Datos!BX16," - ")</f>
        <v xml:space="preserve"> - </v>
      </c>
      <c r="AL16" s="243">
        <f>IF(ISNUMBER(NºAsuntos!G16/NºAsuntos!E16),NºAsuntos!G16/NºAsuntos!E16," - ")</f>
        <v>0.86504217432052488</v>
      </c>
      <c r="AM16" s="260">
        <f>IF(ISNUMBER(((NºAsuntos!I16/NºAsuntos!G16)*11)/factor_trimestre),((NºAsuntos!I16/NºAsuntos!G16)*11)/factor_trimestre," - ")</f>
        <v>11.190682556879739</v>
      </c>
      <c r="AN16" s="244">
        <f>IF(ISNUMBER('Resol  Asuntos'!D16/NºAsuntos!G16),'Resol  Asuntos'!D16/NºAsuntos!G16," - ")</f>
        <v>0.15167930660888407</v>
      </c>
      <c r="AO16" s="245">
        <f>IF(ISNUMBER((NºAsuntos!C16+NºAsuntos!E16)/NºAsuntos!G16),(NºAsuntos!C16+NºAsuntos!E16)/NºAsuntos!G16," - ")</f>
        <v>2.0736728060671723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125</v>
      </c>
      <c r="X17" s="226">
        <f>IF(ISNUMBER(Datos!Q17),Datos!Q17," - ")</f>
        <v>0</v>
      </c>
      <c r="Y17" s="334">
        <f t="shared" si="7"/>
        <v>125</v>
      </c>
      <c r="Z17" s="335" t="str">
        <f>IF(ISNUMBER(Datos!CC17),Datos!CC17," - ")</f>
        <v xml:space="preserve"> - </v>
      </c>
      <c r="AA17" s="332">
        <f>IF(ISNUMBER(Datos!L17),Datos!L17,"-")</f>
        <v>118</v>
      </c>
      <c r="AB17" s="334">
        <f>IF(ISNUMBER(Datos!R17),Datos!R17," - ")</f>
        <v>1</v>
      </c>
      <c r="AC17" s="334">
        <f t="shared" si="6"/>
        <v>119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0.77160493827160492</v>
      </c>
      <c r="AM17" s="260">
        <f>IF(ISNUMBER(((NºAsuntos!I17/NºAsuntos!G17)*11)/factor_trimestre),((NºAsuntos!I17/NºAsuntos!G17)*11)/factor_trimestre," - ")</f>
        <v>10.384</v>
      </c>
      <c r="AN17" s="244">
        <f>IF(ISNUMBER('Resol  Asuntos'!D17/NºAsuntos!G17),'Resol  Asuntos'!D17/NºAsuntos!G17," - ")</f>
        <v>2.4E-2</v>
      </c>
      <c r="AO17" s="245">
        <f>IF(ISNUMBER((NºAsuntos!C17+NºAsuntos!E17)/NºAsuntos!G17),(NºAsuntos!C17+NºAsuntos!E17)/NºAsuntos!G17," - ")</f>
        <v>2.488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795</v>
      </c>
      <c r="G18" s="866">
        <f>SUBTOTAL(9,G15:G17)</f>
        <v>996</v>
      </c>
      <c r="H18" s="865">
        <f t="shared" ref="H18:O18" si="10">SUBTOTAL(9,H14:H17)</f>
        <v>0</v>
      </c>
      <c r="I18" s="867">
        <f t="shared" si="10"/>
        <v>0</v>
      </c>
      <c r="J18" s="867">
        <f t="shared" si="10"/>
        <v>0</v>
      </c>
      <c r="K18" s="867">
        <f t="shared" si="10"/>
        <v>0</v>
      </c>
      <c r="L18" s="867">
        <f t="shared" si="10"/>
        <v>26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1048</v>
      </c>
      <c r="X18" s="867">
        <f t="shared" si="11"/>
        <v>15</v>
      </c>
      <c r="Y18" s="868">
        <f t="shared" si="11"/>
        <v>1063</v>
      </c>
      <c r="Z18" s="868">
        <f t="shared" si="11"/>
        <v>0</v>
      </c>
      <c r="AA18" s="868">
        <f t="shared" si="11"/>
        <v>1057</v>
      </c>
      <c r="AB18" s="868">
        <f t="shared" si="11"/>
        <v>65</v>
      </c>
      <c r="AC18" s="868">
        <f t="shared" si="11"/>
        <v>1122</v>
      </c>
      <c r="AD18" s="868">
        <f t="shared" si="11"/>
        <v>0</v>
      </c>
      <c r="AE18" s="872">
        <f t="shared" si="11"/>
        <v>0</v>
      </c>
      <c r="AF18" s="865">
        <f t="shared" si="11"/>
        <v>0</v>
      </c>
      <c r="AG18" s="873">
        <f t="shared" si="11"/>
        <v>0</v>
      </c>
      <c r="AH18" s="870">
        <f t="shared" si="11"/>
        <v>0</v>
      </c>
      <c r="AI18" s="865">
        <f t="shared" si="11"/>
        <v>143</v>
      </c>
      <c r="AJ18" s="867">
        <f t="shared" si="11"/>
        <v>0</v>
      </c>
      <c r="AK18" s="870">
        <f t="shared" si="11"/>
        <v>0</v>
      </c>
      <c r="AL18" s="874">
        <f>IF(ISNUMBER(NºAsuntos!G18/NºAsuntos!E18),NºAsuntos!G18/NºAsuntos!E18," - ")</f>
        <v>0.85272579332790888</v>
      </c>
      <c r="AM18" s="874">
        <f>IF(ISNUMBER(((NºAsuntos!I18/NºAsuntos!G18)*11)/factor_trimestre),((NºAsuntos!I18/NºAsuntos!G18)*11)/factor_trimestre," - ")</f>
        <v>11.094465648854962</v>
      </c>
      <c r="AN18" s="875">
        <f>IF(ISNUMBER('Resol  Asuntos'!D18/NºAsuntos!G18),'Resol  Asuntos'!D18/NºAsuntos!G18," - ")</f>
        <v>0.1364503816793893</v>
      </c>
      <c r="AO18" s="876">
        <f>IF(ISNUMBER((NºAsuntos!C18+NºAsuntos!E18)/NºAsuntos!G18),(NºAsuntos!C18+NºAsuntos!E18)/NºAsuntos!G18," - ")</f>
        <v>2.1230916030534353</v>
      </c>
      <c r="AP18" s="877" t="str">
        <f t="shared" si="2"/>
        <v xml:space="preserve"> - </v>
      </c>
      <c r="AQ18" s="877">
        <f>IF(ISNUMBER((H18-W18+K18)/(F18)),(H18-W18+K18)/(F18)," - ")</f>
        <v>-1.3182389937106918</v>
      </c>
      <c r="AR18" s="878">
        <f>IF(ISNUMBER((Datos!P18-Datos!Q18)/(Datos!R18-Datos!P18+Datos!Q18)),(Datos!P18-Datos!Q18)/(Datos!R18-Datos!P18+Datos!Q18)," - ")</f>
        <v>0.20370370370370369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795</v>
      </c>
      <c r="G19" s="821">
        <f t="shared" si="13"/>
        <v>999</v>
      </c>
      <c r="H19" s="820">
        <f t="shared" si="13"/>
        <v>0</v>
      </c>
      <c r="I19" s="822">
        <f t="shared" si="13"/>
        <v>0</v>
      </c>
      <c r="J19" s="822">
        <f t="shared" si="13"/>
        <v>0</v>
      </c>
      <c r="K19" s="881">
        <f t="shared" si="13"/>
        <v>0</v>
      </c>
      <c r="L19" s="822">
        <f t="shared" si="13"/>
        <v>293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1048</v>
      </c>
      <c r="X19" s="821">
        <f t="shared" si="14"/>
        <v>144</v>
      </c>
      <c r="Y19" s="828">
        <f t="shared" si="14"/>
        <v>1192</v>
      </c>
      <c r="Z19" s="828">
        <f t="shared" si="14"/>
        <v>0</v>
      </c>
      <c r="AA19" s="828">
        <f t="shared" si="14"/>
        <v>1074</v>
      </c>
      <c r="AB19" s="828">
        <f t="shared" si="14"/>
        <v>1197</v>
      </c>
      <c r="AC19" s="828">
        <f t="shared" si="14"/>
        <v>1140</v>
      </c>
      <c r="AD19" s="828">
        <f t="shared" si="14"/>
        <v>0</v>
      </c>
      <c r="AE19" s="830">
        <f t="shared" si="14"/>
        <v>0</v>
      </c>
      <c r="AF19" s="831">
        <f t="shared" si="14"/>
        <v>0</v>
      </c>
      <c r="AG19" s="832">
        <f t="shared" si="14"/>
        <v>0</v>
      </c>
      <c r="AH19" s="830">
        <f t="shared" si="14"/>
        <v>0</v>
      </c>
      <c r="AI19" s="820">
        <f t="shared" si="14"/>
        <v>438</v>
      </c>
      <c r="AJ19" s="820">
        <f t="shared" si="14"/>
        <v>0</v>
      </c>
      <c r="AK19" s="830">
        <f t="shared" si="14"/>
        <v>0</v>
      </c>
      <c r="AL19" s="884">
        <f>IF(ISNUMBER(NºAsuntos!G19/NºAsuntos!E19),NºAsuntos!G19/NºAsuntos!E19," - ")</f>
        <v>0.70503826530612246</v>
      </c>
      <c r="AM19" s="885">
        <f>IF(ISNUMBER(((NºAsuntos!I19/NºAsuntos!G19)*11)/factor_trimestre),((NºAsuntos!I19/NºAsuntos!G19)*11)/factor_trimestre," - ")</f>
        <v>14</v>
      </c>
      <c r="AN19" s="885">
        <f>IF(ISNUMBER('Resol  Asuntos'!D19/NºAsuntos!G19),'Resol  Asuntos'!D19/NºAsuntos!G19," - ")</f>
        <v>0.19810040705563092</v>
      </c>
      <c r="AO19" s="886">
        <f>IF(ISNUMBER((NºAsuntos!C19+NºAsuntos!E19)/NºAsuntos!G19),(NºAsuntos!C19+NºAsuntos!E19)/NºAsuntos!G19," - ")</f>
        <v>2.4246947082767978</v>
      </c>
      <c r="AP19" s="887" t="str">
        <f t="shared" si="2"/>
        <v xml:space="preserve"> - </v>
      </c>
      <c r="AQ19" s="888">
        <f>IF(OR(ISNUMBER(FIND("01",Criterios!A8,1)),ISNUMBER(FIND("02",Criterios!A8,1)),ISNUMBER(FIND("03",Criterios!A8,1)),ISNUMBER(FIND("04",Criterios!A8,1))),(I19-W19+K19)/(F19-K19),(H19-W19+K19)/(F19-K19))</f>
        <v>-1.3182389937106918</v>
      </c>
      <c r="AR19" s="889">
        <f>IF(ISNUMBER((Datos!P19-Datos!Q19)/(Datos!R19-Datos!P19+Datos!Q19)),(Datos!P19-Datos!Q19)/(Datos!R19-Datos!P19+Datos!Q19)," - ")</f>
        <v>0.14217557251908397</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399.6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458.99346400575246</v>
      </c>
      <c r="G21" s="253">
        <f>IF(ISNUMBER(STDEV(G8:G18)),STDEV(G8:G18),"-")</f>
        <v>483.02256676060176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521.34796441532217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131.3103194726142</v>
      </c>
      <c r="AJ21" s="252">
        <f t="shared" si="18"/>
        <v>0</v>
      </c>
      <c r="AK21" s="254">
        <f t="shared" si="18"/>
        <v>0</v>
      </c>
      <c r="AL21" s="249">
        <f t="shared" si="18"/>
        <v>0.32302032306117756</v>
      </c>
      <c r="AM21" s="250">
        <f t="shared" si="18"/>
        <v>3.1097689328522846</v>
      </c>
      <c r="AN21" s="250">
        <f t="shared" si="18"/>
        <v>9.563801548996903E-2</v>
      </c>
      <c r="AO21" s="251">
        <f t="shared" si="18"/>
        <v>0.29835905434541871</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Vg8diOeovSGhCsbZorPL7R1uulXLcVZ4EiZ2rbDmOKLkr7R+U1MHa6a9FSgnk7/Z2GS1MkogL7Zs7G3aa5nVwQ==" saltValue="M0j4PvrUjb25KKWIulc52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MONFORTE DE LEMOS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-0.92307692307692313</v>
      </c>
      <c r="E10" s="348">
        <f>IF(ISNUMBER((Datos!J10-Datos!T10)/Datos!T10),(Datos!J10-Datos!T10)/Datos!T10," - ")</f>
        <v>-0.59523809523809523</v>
      </c>
      <c r="F10" s="348">
        <f>IF(ISNUMBER((Datos!K10-Datos!U10)/Datos!U10),(Datos!K10-Datos!U10)/Datos!U10," - ")</f>
        <v>-1</v>
      </c>
      <c r="G10" s="349">
        <f>IF(ISNUMBER((Datos!L10-Datos!V10)/Datos!V10),(Datos!L10-Datos!V10)/Datos!V10," - ")</f>
        <v>4.666666666666667</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-9.5092024539877307E-2</v>
      </c>
      <c r="I12" s="350">
        <f>IF(ISNUMBER((Tasas!C12-Datos!BE12)/Datos!BE12),(Tasas!C12-Datos!BE12)/Datos!BE12," - ")</f>
        <v>0.74751970420202007</v>
      </c>
      <c r="J12" s="349">
        <f>IF(ISNUMBER((Tasas!D12-Datos!BF12)/Datos!BF12),(Tasas!D12-Datos!BF12)/Datos!BF12," - ")</f>
        <v>-0.17447041350738696</v>
      </c>
      <c r="K12" s="351">
        <f>IF(ISNUMBER((Tasas!E12-Datos!BG12)/Datos!BG12),(Tasas!E12-Datos!BG12)/Datos!BG12," - ")</f>
        <v>0.44455034238415392</v>
      </c>
      <c r="M12" t="e">
        <f>IF(Monitorios="SI",Datos!CE12,0)</f>
        <v>#REF!</v>
      </c>
      <c r="N12" t="e">
        <f>IF(Monitorios="SI",Datos!CF12,0)</f>
        <v>#REF!</v>
      </c>
      <c r="O12" t="e">
        <f>IF(Monitorios="SI",Datos!CG12,0)</f>
        <v>#REF!</v>
      </c>
      <c r="P12" t="e">
        <f>IF(Monitorios="SI",Datos!CH12,0)</f>
        <v>#REF!</v>
      </c>
      <c r="Q12">
        <f>IF(J_V="SI",0,Datos!AG12)</f>
        <v>77</v>
      </c>
      <c r="R12">
        <f>IF(J_V="SI",0,Datos!AH12)</f>
        <v>213</v>
      </c>
      <c r="S12">
        <f>IF(J_V="SI",0,Datos!AI12)</f>
        <v>221</v>
      </c>
      <c r="T12">
        <f>IF(J_V="SI",0,Datos!AJ12)</f>
        <v>69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-9.5092024539877307E-2</v>
      </c>
      <c r="I13" s="357">
        <f>IF(ISNUMBER((Tasas!C13-Datos!BE13)/Datos!BE13),(Tasas!C13-Datos!BE13)/Datos!BE13," - ")</f>
        <v>0.78855853139274634</v>
      </c>
      <c r="J13" s="355">
        <f>IF(ISNUMBER((Tasas!D13-Datos!BF13)/Datos!BF13),(Tasas!D13-Datos!BF13)/Datos!BF13," - ")</f>
        <v>-0.16121120925506138</v>
      </c>
      <c r="K13" s="358">
        <f>IF(ISNUMBER((Tasas!E13-Datos!BG13)/Datos!BG13),(Tasas!E13-Datos!BG13)/Datos!BG13," - ")</f>
        <v>0.43345655582506648</v>
      </c>
      <c r="M13" t="e">
        <f>IF(Monitorios="SI",Datos!CE13,0)</f>
        <v>#REF!</v>
      </c>
      <c r="N13" t="e">
        <f>IF(Monitorios="SI",Datos!CF13,0)</f>
        <v>#REF!</v>
      </c>
      <c r="O13" t="e">
        <f>IF(Monitorios="SI",Datos!CG13,0)</f>
        <v>#REF!</v>
      </c>
      <c r="P13" t="e">
        <f>IF(Monitorios="SI",Datos!CH13,0)</f>
        <v>#REF!</v>
      </c>
      <c r="Q13">
        <f>IF(J_V="SI",0,Datos!AG13)</f>
        <v>77</v>
      </c>
      <c r="R13">
        <f>IF(J_V="SI",0,Datos!AH13)</f>
        <v>213</v>
      </c>
      <c r="S13">
        <f>IF(J_V="SI",0,Datos!AI13)</f>
        <v>221</v>
      </c>
      <c r="T13">
        <f>IF(J_V="SI",0,Datos!AJ13)</f>
        <v>69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6.407035175879397E-2</v>
      </c>
      <c r="E16" s="348">
        <f>IF(ISNUMBER(
   IF(D_I="SI",(Datos!J16-Datos!T16)/Datos!T16,(Datos!J16+Datos!AD16-(Datos!T16+Datos!AL16))/(Datos!T16+Datos!AL16))
     ),IF(D_I="SI",(Datos!J16-Datos!T16)/Datos!T16,(Datos!J16+Datos!AD16-(Datos!T16+Datos!AL16))/(Datos!T16+Datos!AL16))," - ")</f>
        <v>6.9138276553106212E-2</v>
      </c>
      <c r="F16" s="348">
        <f>IF(ISNUMBER(
   IF(D_I="SI",(Datos!K16-Datos!U16)/Datos!U16,(Datos!K16+Datos!AE16-(Datos!U16+Datos!AM16))/(Datos!U16+Datos!AM16))
     ),IF(D_I="SI",(Datos!K16-Datos!U16)/Datos!U16,(Datos!K16+Datos!AE16-(Datos!U16+Datos!AM16))/(Datos!U16+Datos!AM16))," - ")</f>
        <v>-2.5343189017951427E-2</v>
      </c>
      <c r="G16" s="349">
        <f>IF(ISNUMBER(
   IF(D_I="SI",(Datos!L16-Datos!V16)/Datos!V16,(Datos!L16+Datos!AF16-(Datos!V16+Datos!AN16))/(Datos!V16+Datos!AN16))
     ),IF(D_I="SI",(Datos!L16-Datos!V16)/Datos!V16,(Datos!L16+Datos!AF16-(Datos!V16+Datos!AN16))/(Datos!V16+Datos!AN16))," - ")</f>
        <v>0.10861865407319952</v>
      </c>
      <c r="H16" s="230">
        <f>IF(ISNUMBER((Datos!M16-Datos!W16)/Datos!W16),(Datos!M16-Datos!W16)/Datos!W16," - ")</f>
        <v>0.19658119658119658</v>
      </c>
      <c r="I16" s="350">
        <f>IF(ISNUMBER((Tasas!C16-Datos!BE16)/Datos!BE16),(Tasas!C16-Datos!BE16)/Datos!BE16," - ")</f>
        <v>0.13744514128637034</v>
      </c>
      <c r="J16" s="349">
        <f>IF(ISNUMBER((Tasas!D16-Datos!BF16)/Datos!BF16),(Tasas!D16-Datos!BF16)/Datos!BF16," - ")</f>
        <v>0.22769490050096761</v>
      </c>
      <c r="K16" s="351">
        <f>IF(ISNUMBER((Tasas!E16-Datos!BG16)/Datos!BG16),(Tasas!E16-Datos!BG16)/Datos!BG16," - ")</f>
        <v>9.4631074328657847E-2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0.27350427350427353</v>
      </c>
      <c r="E17" s="348">
        <f>IF(ISNUMBER(
   IF(D_I="SI",(Datos!J17-Datos!T17)/Datos!T17,(Datos!J17+Datos!AD17-(Datos!T17+Datos!AL17))/(Datos!T17+Datos!AL17))
     ),IF(D_I="SI",(Datos!J17-Datos!T17)/Datos!T17,(Datos!J17+Datos!AD17-(Datos!T17+Datos!AL17))/(Datos!T17+Datos!AL17))," - ")</f>
        <v>0.33884297520661155</v>
      </c>
      <c r="F17" s="348">
        <f>IF(ISNUMBER(
   IF(D_I="SI",(Datos!K17-Datos!U17)/Datos!U17,(Datos!K17+Datos!AE17-(Datos!U17+Datos!AM17))/(Datos!U17+Datos!AM17))
     ),IF(D_I="SI",(Datos!K17-Datos!U17)/Datos!U17,(Datos!K17+Datos!AE17-(Datos!U17+Datos!AM17))/(Datos!U17+Datos!AM17))," - ")</f>
        <v>0.4044943820224719</v>
      </c>
      <c r="G17" s="349">
        <f>IF(ISNUMBER(
   IF(D_I="SI",(Datos!L17-Datos!V17)/Datos!V17,(Datos!L17+Datos!AF17-(Datos!V17+Datos!AN17))/(Datos!V17+Datos!AN17))
     ),IF(D_I="SI",(Datos!L17-Datos!V17)/Datos!V17,(Datos!L17+Datos!AF17-(Datos!V17+Datos!AN17))/(Datos!V17+Datos!AN17))," - ")</f>
        <v>-0.20805369127516779</v>
      </c>
      <c r="H17" s="230">
        <f>IF(ISNUMBER((Datos!M17-Datos!W17)/Datos!W17),(Datos!M17-Datos!W17)/Datos!W17," - ")</f>
        <v>2</v>
      </c>
      <c r="I17" s="350">
        <f>IF(ISNUMBER((Tasas!C17-Datos!BE17)/Datos!BE17),(Tasas!C17-Datos!BE17)/Datos!BE17," - ")</f>
        <v>-0.43613422818791953</v>
      </c>
      <c r="J17" s="349">
        <f>IF(ISNUMBER((Tasas!D17-Datos!BF17)/Datos!BF17),(Tasas!D17-Datos!BF17)/Datos!BF17," - ")</f>
        <v>1.1360000000000001</v>
      </c>
      <c r="K17" s="351">
        <f>IF(ISNUMBER((Tasas!E17-Datos!BG17)/Datos!BG17),(Tasas!E17-Datos!BG17)/Datos!BG17," - ")</f>
        <v>-6.9613445378151215E-2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9.0909090909090912E-2</v>
      </c>
      <c r="E18" s="354">
        <f>IF(ISNUMBER(
   IF(D_I="SI",(Datos!J18-Datos!T18)/Datos!T18,(Datos!J18+Datos!AD18-(Datos!T18+Datos!AL18))/(Datos!T18+Datos!AL18))
     ),IF(D_I="SI",(Datos!J18-Datos!T18)/Datos!T18,(Datos!J18+Datos!AD18-(Datos!T18+Datos!AL18))/(Datos!T18+Datos!AL18))," - ")</f>
        <v>9.8302055406613048E-2</v>
      </c>
      <c r="F18" s="354">
        <f>IF(ISNUMBER(
   IF(D_I="SI",(Datos!K18-Datos!U18)/Datos!U18,(Datos!K18+Datos!AE18-(Datos!U18+Datos!AM18))/(Datos!U18+Datos!AM18))
     ),IF(D_I="SI",(Datos!K18-Datos!U18)/Datos!U18,(Datos!K18+Datos!AE18-(Datos!U18+Datos!AM18))/(Datos!U18+Datos!AM18))," - ")</f>
        <v>1.1583011583011582E-2</v>
      </c>
      <c r="G18" s="355">
        <f>IF(ISNUMBER(
   IF(D_I="SI",(Datos!L18-Datos!V18)/Datos!V18,(Datos!L18+Datos!AF18-(Datos!V18+Datos!AN18))/(Datos!V18+Datos!AN18))
     ),IF(D_I="SI",(Datos!L18-Datos!V18)/Datos!V18,(Datos!L18+Datos!AF18-(Datos!V18+Datos!AN18))/(Datos!V18+Datos!AN18))," - ")</f>
        <v>6.1244979919678713E-2</v>
      </c>
      <c r="H18" s="356">
        <f>IF(ISNUMBER((Datos!M18-Datos!W18)/Datos!W18),(Datos!M18-Datos!W18)/Datos!W18," - ")</f>
        <v>0.21186440677966101</v>
      </c>
      <c r="I18" s="357">
        <f>IF(ISNUMBER((Tasas!C18-Datos!BE18)/Datos!BE18),(Tasas!C18-Datos!BE18)/Datos!BE18," - ")</f>
        <v>4.9093319844262642E-2</v>
      </c>
      <c r="J18" s="355">
        <f>IF(ISNUMBER((Tasas!D18-Datos!BF18)/Datos!BF18),(Tasas!D18-Datos!BF18)/Datos!BF18," - ")</f>
        <v>0.19798809677836718</v>
      </c>
      <c r="K18" s="358">
        <f>IF(ISNUMBER((Tasas!E18-Datos!BG18)/Datos!BG18),(Tasas!E18-Datos!BG18)/Datos!BG18," - ")</f>
        <v>8.2442372422912816E-2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0.11305652826413207</v>
      </c>
      <c r="E19" s="363">
        <f>IF(ISNUMBER(
   IF(J_V="SI",(Datos!J19-Datos!T19)/Datos!T19,(Datos!J19+Datos!Z19-(Datos!T19+Datos!AH19))/(Datos!T19+Datos!AH19))
     ),IF(J_V="SI",(Datos!J19-Datos!T19)/Datos!T19,(Datos!J19+Datos!Z19-(Datos!T19+Datos!AH19))/(Datos!T19+Datos!AH19))," - ")</f>
        <v>0.13212996389891696</v>
      </c>
      <c r="F19" s="363">
        <f>IF(ISNUMBER(
   IF(J_V="SI",(Datos!K19-Datos!U19)/Datos!U19,(Datos!K19+Datos!AA19-(Datos!U19+Datos!AI19))/(Datos!U19+Datos!AI19))
     ),IF(J_V="SI",(Datos!K19-Datos!U19)/Datos!U19,(Datos!K19+Datos!AA19-(Datos!U19+Datos!AI19))/(Datos!U19+Datos!AI19))," - ")</f>
        <v>-0.11240465676435167</v>
      </c>
      <c r="G19" s="364">
        <f>IF(ISNUMBER(
   IF(J_V="SI",(Datos!L19-Datos!V19)/Datos!V19,(Datos!L19+Datos!AB19-(Datos!V19+Datos!AJ19))/(Datos!V19+Datos!AJ19))
     ),IF(J_V="SI",(Datos!L19-Datos!V19)/Datos!V19,(Datos!L19+Datos!AB19-(Datos!V19+Datos!AJ19))/(Datos!V19+Datos!AJ19))," - ")</f>
        <v>0.26471910112359548</v>
      </c>
      <c r="H19" s="365">
        <f>IF(ISNUMBER((Datos!M19-Datos!W19)/Datos!W19),(Datos!M19-Datos!W19)/Datos!W19," - ")</f>
        <v>-1.3513513513513514E-2</v>
      </c>
      <c r="I19" s="362">
        <f>IF(ISNUMBER((Tasas!C19-Datos!BE19)/Datos!BE19),(Tasas!C19-Datos!BE19)/Datos!BE19," - ")</f>
        <v>0.42488253319713992</v>
      </c>
      <c r="J19" s="363">
        <f>IF(ISNUMBER((Tasas!D19-Datos!BF19)/Datos!BF19),(Tasas!D19-Datos!BF19)/Datos!BF19," - ")</f>
        <v>-0.11564854126240746</v>
      </c>
      <c r="K19" s="364">
        <f>IF(ISNUMBER((Tasas!E19-Datos!BG19)/Datos!BG19),(Tasas!E19-Datos!BG19)/Datos!BG19," - ")</f>
        <v>0.26649497133937999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0.54101431165530434</v>
      </c>
      <c r="E21" s="278">
        <f t="shared" si="1"/>
        <v>0.40066116552153291</v>
      </c>
      <c r="F21" s="278">
        <f t="shared" si="1"/>
        <v>0.59765958708665601</v>
      </c>
      <c r="G21" s="279">
        <f t="shared" si="1"/>
        <v>2.3438511147898211</v>
      </c>
      <c r="H21" s="285">
        <f t="shared" si="1"/>
        <v>0.8828191795791559</v>
      </c>
      <c r="I21" s="277">
        <f t="shared" si="1"/>
        <v>0.51505272136581715</v>
      </c>
      <c r="J21" s="278">
        <f t="shared" si="1"/>
        <v>0.53323385097336162</v>
      </c>
      <c r="K21" s="279">
        <f t="shared" si="1"/>
        <v>0.23015125865597841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v8MBSU+1MCfi2EmX7f16e3lg7uQ9VsgKgJ4y7AcEfuVMH8ic8/b1inY+6rSL0zvHr9w46IP/MRGQTusTtsLow==" saltValue="LdnPh/LcFX+spCXzXzjxK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2025-02-28T10:05:52Z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